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8125" windowHeight="12540" activeTab="0" tabRatio="599"/>
  </bookViews>
  <sheets>
    <sheet name="LORA" sheetId="1" r:id="rId1"/>
    <sheet name="NB" sheetId="2" r:id="rId2"/>
  </sheets>
  <definedNames>
    <definedName name="LAQ4_">LORA!$C$89:$U$104</definedName>
    <definedName name="LAQ4____LoRaWAN_Air_Quality_Sensor">LORA!$E$90:$E$103</definedName>
    <definedName name="LDDS20_">LORA!$G$90:$G$97</definedName>
    <definedName name="LDDS20_LoRaWAN_Liquid_Level_Sensor">LORA!$G$90:$G$103</definedName>
    <definedName name="LDDS75_">LORA!$F$90:$F$97</definedName>
    <definedName name="LDDS75_LoRaWAN_Distance_Detection_Sensor">LORA!$F$90:$F$103</definedName>
    <definedName name="LDS01_">LORA!$I$90:$I$97</definedName>
    <definedName name="LDS01____LoRaWAN_Door_Sensor">LORA!$I$90:$I$103</definedName>
    <definedName name="LDS02____LoRaWAN_Door_Sensor">LORA!$O$90:$O$103</definedName>
    <definedName name="LDS03A____LoRaWAN_Door_Sensor">LORA!$S$90:$S$103</definedName>
    <definedName name="LHT65_">LORA!$C$90:$C$97</definedName>
    <definedName name="LHT65_LoRaWAN_Temperature___Humidity_Sensor">LORA!$C$90:$C$103</definedName>
    <definedName name="LLMS01____LoRaWAN_Leaf_Moisture_Sensor_V1.0">LORA!$P$90:$P$103</definedName>
    <definedName name="LSE01_">LORA!$H$90:$H$97</definedName>
    <definedName name="LSE01_LoRaWAN_Soil_Moisture___EC_Sensor">LORA!$H$90:$H$103</definedName>
    <definedName name="LSN50_">LORA!$D$90:$D$97</definedName>
    <definedName name="LSN50_V2">LORA!$D$90:$D$97</definedName>
    <definedName name="LSN50_V2____Waterproof_Long_Range_Wireless_LoRa_Sensor_Node">LORA!$D$90:$D$103</definedName>
    <definedName name="LSN50_V2____Waterproof_Long_Range_Wireless_NB_Sensor_Node">NB!$E$44:$E$52</definedName>
    <definedName name="LSN50V2_D20">LORA!$K$90:$K$97</definedName>
    <definedName name="LSN50v2_D20____LoRaWAN_Waterproof__Outdoor_Temperature_Sensor">LORA!$K$90:$K$103</definedName>
    <definedName name="LSN50V2_S31">LORA!$L$90:$L$97</definedName>
    <definedName name="LSN50v2_S31____LoRaWAN_Temperature___Humidity_Sensor">LORA!$L$90:$L$103</definedName>
    <definedName name="LSNPK01____LoRaWAN_Soil_NPK_Sensor_V1.0">LORA!$Q$90:$Q$103</definedName>
    <definedName name="LSPH01____LoRaWAN_Soil_Ph_Sensor_V1.0">LORA!$R$90:$R$103</definedName>
    <definedName name="LTC2_V1.0">LORA!$M$90:$M$103</definedName>
    <definedName name="LWL01_">LORA!$J$90:$J$97</definedName>
    <definedName name="LWL01____LoRaWAN_Water_Leak">LORA!$J$90:$J$103</definedName>
    <definedName name="LWL02____LoRaWAN_Water_Leak">LORA!$N$90:$N$103</definedName>
    <definedName name="NDDS20_NB_Liquid_Level_Sensor">NB!$G$44:$G$52</definedName>
    <definedName name="NDDS75_NB_Distance_Detection_Sensor">NB!$F$44:$F$52</definedName>
    <definedName name="NSE01_NB_Soil_Moisture___EC_Sensor">NB!$H$44:$H$52</definedName>
    <definedName name="LHT52_LoRaWAN_Temperature___Humidity_Sensor">LORA!$T$90:$T$103</definedName>
  </definedNames>
</workbook>
</file>

<file path=xl/sharedStrings.xml><?xml version="1.0" encoding="utf-8"?>
<sst xmlns="http://schemas.openxmlformats.org/spreadsheetml/2006/main" uniqueCount="133" count="133">
  <si>
    <r>
      <rPr>
        <b/>
        <charset val="134"/>
        <sz val="11"/>
        <color rgb="FF000000"/>
        <rFont val="Calibri"/>
      </rPr>
      <t xml:space="preserve">How to use:
1.Please do not modify the formula in the table
2.After selecting the </t>
    </r>
    <r>
      <rPr>
        <b/>
        <charset val="134"/>
        <sz val="11"/>
        <color rgb="FFFFFFFF"/>
        <rFont val="Calibri"/>
      </rPr>
      <t>product number</t>
    </r>
    <r>
      <rPr>
        <b/>
        <charset val="134"/>
        <sz val="11"/>
        <color rgb="FF000000"/>
        <rFont val="Calibri"/>
      </rPr>
      <t xml:space="preserve"> and </t>
    </r>
    <r>
      <rPr>
        <b/>
        <charset val="134"/>
        <sz val="11"/>
        <color rgb="FFFFFFFF"/>
        <rFont val="Calibri"/>
      </rPr>
      <t>model</t>
    </r>
    <r>
      <rPr>
        <b/>
        <charset val="134"/>
        <sz val="11"/>
        <color rgb="FF000000"/>
        <rFont val="Calibri"/>
      </rPr>
      <t xml:space="preserve">, then select the </t>
    </r>
    <r>
      <rPr>
        <b/>
        <charset val="134"/>
        <sz val="11"/>
        <color rgb="FFFFFFFF"/>
        <rFont val="Calibri"/>
      </rPr>
      <t>TDC unit</t>
    </r>
    <r>
      <rPr>
        <b/>
        <charset val="134"/>
        <sz val="11"/>
        <color rgb="FF000000"/>
        <rFont val="Calibri"/>
      </rPr>
      <t xml:space="preserve">, and finally enter the </t>
    </r>
    <r>
      <rPr>
        <b/>
        <charset val="134"/>
        <sz val="11"/>
        <color rgb="FFFFFFFF"/>
        <rFont val="Calibri"/>
      </rPr>
      <t>TDC</t>
    </r>
    <r>
      <rPr>
        <b/>
        <charset val="134"/>
        <sz val="11"/>
        <color rgb="FFFF0000"/>
        <rFont val="Calibri"/>
      </rPr>
      <t>,</t>
    </r>
    <r>
      <rPr>
        <b/>
        <charset val="134"/>
        <sz val="11"/>
        <color rgb="FF000000"/>
        <rFont val="Calibri"/>
      </rPr>
      <t xml:space="preserve"> you can get the predicted battery life
3.Explanation of abbreviations</t>
    </r>
    <r>
      <rPr>
        <b/>
        <charset val="134"/>
        <sz val="11"/>
        <color rgb="FF000000"/>
        <rFont val="宋体"/>
      </rPr>
      <t>：</t>
    </r>
    <r>
      <rPr>
        <b/>
        <charset val="134"/>
        <sz val="11"/>
        <color rgb="FF000000"/>
        <rFont val="Calibri"/>
      </rPr>
      <t>WD--&gt;Watchdog      TX--&gt;Transimt       RX--&gt;Receive</t>
    </r>
  </si>
  <si>
    <t>Battery Life Calculator</t>
  </si>
  <si>
    <t xml:space="preserve">Product </t>
  </si>
  <si>
    <t>battery capacity(mah)</t>
  </si>
  <si>
    <t>LHT52_LoRaWAN_Temperature___Humidity_Sensor</t>
  </si>
  <si>
    <t>UNIT</t>
  </si>
  <si>
    <t>TDC (Uplink Interval)</t>
  </si>
  <si>
    <t>Work Mode</t>
  </si>
  <si>
    <t>ms</t>
  </si>
  <si>
    <t>min</t>
  </si>
  <si>
    <t>EXT=1</t>
  </si>
  <si>
    <t>s</t>
  </si>
  <si>
    <r>
      <rPr>
        <b/>
        <charset val="134"/>
        <sz val="11"/>
        <color rgb="FF000000"/>
        <rFont val="Calibri"/>
      </rPr>
      <t>Sleep power</t>
    </r>
    <r>
      <rPr>
        <b/>
        <charset val="134"/>
        <sz val="11"/>
        <color rgb="FF000000"/>
        <rFont val="宋体"/>
      </rPr>
      <t>（</t>
    </r>
    <r>
      <rPr>
        <b/>
        <charset val="134"/>
        <sz val="11"/>
        <color rgb="FF000000"/>
        <rFont val="Calibri"/>
      </rPr>
      <t>mA*ms</t>
    </r>
    <r>
      <rPr>
        <b/>
        <charset val="134"/>
        <sz val="11"/>
        <color rgb="FF000000"/>
        <rFont val="宋体"/>
      </rPr>
      <t>）</t>
    </r>
  </si>
  <si>
    <r>
      <rPr>
        <b/>
        <charset val="134"/>
        <sz val="11"/>
        <color rgb="FF000000"/>
        <rFont val="Calibri"/>
      </rPr>
      <t>Sampling power</t>
    </r>
    <r>
      <rPr>
        <b/>
        <charset val="134"/>
        <sz val="11"/>
        <color rgb="FF000000"/>
        <rFont val="宋体"/>
      </rPr>
      <t>（</t>
    </r>
    <r>
      <rPr>
        <b/>
        <charset val="134"/>
        <sz val="11"/>
        <color rgb="FF000000"/>
        <rFont val="Calibri"/>
      </rPr>
      <t>mA*ms</t>
    </r>
    <r>
      <rPr>
        <b/>
        <charset val="134"/>
        <sz val="11"/>
        <color rgb="FF000000"/>
        <rFont val="宋体"/>
      </rPr>
      <t>）</t>
    </r>
  </si>
  <si>
    <r>
      <rPr>
        <b/>
        <charset val="134"/>
        <sz val="11"/>
        <color rgb="FF000000"/>
        <rFont val="Calibri"/>
      </rPr>
      <t>TX power (mA*ms</t>
    </r>
    <r>
      <rPr>
        <b/>
        <charset val="134"/>
        <sz val="11"/>
        <color rgb="FF000000"/>
        <rFont val="宋体"/>
      </rPr>
      <t>）</t>
    </r>
  </si>
  <si>
    <r>
      <rPr>
        <b/>
        <charset val="134"/>
        <sz val="11"/>
        <color rgb="FF000000"/>
        <rFont val="Calibri"/>
      </rPr>
      <t>RX1 power</t>
    </r>
    <r>
      <rPr>
        <b/>
        <charset val="134"/>
        <sz val="11"/>
        <color rgb="FF000000"/>
        <rFont val="宋体"/>
      </rPr>
      <t>（</t>
    </r>
    <r>
      <rPr>
        <b/>
        <charset val="134"/>
        <sz val="11"/>
        <color rgb="FF000000"/>
        <rFont val="Calibri"/>
      </rPr>
      <t>mA*ms</t>
    </r>
    <r>
      <rPr>
        <b/>
        <charset val="134"/>
        <sz val="11"/>
        <color rgb="FF000000"/>
        <rFont val="宋体"/>
      </rPr>
      <t>）</t>
    </r>
  </si>
  <si>
    <r>
      <rPr>
        <b/>
        <charset val="134"/>
        <sz val="11"/>
        <color rgb="FF000000"/>
        <rFont val="Calibri"/>
      </rPr>
      <t>RX2 power</t>
    </r>
    <r>
      <rPr>
        <b/>
        <charset val="134"/>
        <sz val="11"/>
        <color rgb="FF000000"/>
        <rFont val="宋体"/>
      </rPr>
      <t>（</t>
    </r>
    <r>
      <rPr>
        <b/>
        <charset val="134"/>
        <sz val="11"/>
        <color rgb="FF000000"/>
        <rFont val="Calibri"/>
      </rPr>
      <t>mA*ms</t>
    </r>
    <r>
      <rPr>
        <b/>
        <charset val="134"/>
        <sz val="11"/>
        <color rgb="FF000000"/>
        <rFont val="宋体"/>
      </rPr>
      <t>）</t>
    </r>
  </si>
  <si>
    <r>
      <rPr>
        <b/>
        <charset val="134"/>
        <sz val="11"/>
        <color rgb="FF000000"/>
        <rFont val="Calibri"/>
      </rPr>
      <t>Watchdog power</t>
    </r>
    <r>
      <rPr>
        <b/>
        <charset val="134"/>
        <sz val="11"/>
        <color rgb="FF000000"/>
        <rFont val="宋体"/>
      </rPr>
      <t>（</t>
    </r>
    <r>
      <rPr>
        <b/>
        <charset val="134"/>
        <sz val="11"/>
        <color rgb="FF000000"/>
        <rFont val="Calibri"/>
      </rPr>
      <t>mA*ms</t>
    </r>
    <r>
      <rPr>
        <b/>
        <charset val="134"/>
        <sz val="11"/>
        <color rgb="FF000000"/>
        <rFont val="宋体"/>
      </rPr>
      <t>）</t>
    </r>
  </si>
  <si>
    <r>
      <rPr>
        <b/>
        <charset val="134"/>
        <sz val="11"/>
        <color rgb="FF000000"/>
        <rFont val="Calibri"/>
      </rPr>
      <t>Average power</t>
    </r>
    <r>
      <rPr>
        <b/>
        <charset val="134"/>
        <sz val="11"/>
        <color rgb="FF000000"/>
        <rFont val="宋体"/>
      </rPr>
      <t>（</t>
    </r>
    <r>
      <rPr>
        <b/>
        <charset val="134"/>
        <sz val="11"/>
        <color rgb="FF000000"/>
        <rFont val="Calibri"/>
      </rPr>
      <t>mA</t>
    </r>
    <r>
      <rPr>
        <b/>
        <charset val="134"/>
        <sz val="11"/>
        <color rgb="FF000000"/>
        <rFont val="宋体"/>
      </rPr>
      <t>）</t>
    </r>
  </si>
  <si>
    <r>
      <rPr>
        <b/>
        <charset val="134"/>
        <sz val="11"/>
        <color rgb="FF000000"/>
        <rFont val="Calibri"/>
      </rPr>
      <t>Detect power</t>
    </r>
    <r>
      <rPr>
        <b/>
        <charset val="134"/>
        <sz val="11"/>
        <color rgb="FF000000"/>
        <rFont val="宋体"/>
      </rPr>
      <t>（</t>
    </r>
    <r>
      <rPr>
        <b/>
        <charset val="134"/>
        <sz val="11"/>
        <color rgb="FF000000"/>
        <rFont val="Calibri"/>
      </rPr>
      <t>mA*ms</t>
    </r>
    <r>
      <rPr>
        <b/>
        <charset val="134"/>
        <sz val="11"/>
        <color rgb="FF000000"/>
        <rFont val="宋体"/>
      </rPr>
      <t>）</t>
    </r>
  </si>
  <si>
    <r>
      <rPr>
        <b/>
        <charset val="134"/>
        <sz val="11"/>
        <color rgb="FF000000"/>
        <rFont val="Calibri"/>
      </rPr>
      <t>BLE  power</t>
    </r>
    <r>
      <rPr>
        <b/>
        <charset val="134"/>
        <sz val="11"/>
        <color rgb="FF000000"/>
        <rFont val="宋体"/>
      </rPr>
      <t>（</t>
    </r>
    <r>
      <rPr>
        <b/>
        <charset val="134"/>
        <sz val="11"/>
        <color rgb="FF000000"/>
        <rFont val="Calibri"/>
      </rPr>
      <t>mA*ms</t>
    </r>
    <r>
      <rPr>
        <b/>
        <charset val="134"/>
        <sz val="11"/>
        <color rgb="FF000000"/>
        <rFont val="宋体"/>
      </rPr>
      <t>）</t>
    </r>
  </si>
  <si>
    <r>
      <rPr>
        <b/>
        <charset val="134"/>
        <sz val="11"/>
        <color rgb="FF000000"/>
        <rFont val="Calibri"/>
      </rPr>
      <t>Life expectancy</t>
    </r>
    <r>
      <rPr>
        <b/>
        <charset val="134"/>
        <sz val="11"/>
        <color rgb="FF000000"/>
        <rFont val="宋体"/>
      </rPr>
      <t>（</t>
    </r>
    <r>
      <rPr>
        <b/>
        <charset val="134"/>
        <sz val="11"/>
        <color rgb="FF000000"/>
        <rFont val="Calibri"/>
      </rPr>
      <t>yr</t>
    </r>
    <r>
      <rPr>
        <b/>
        <charset val="134"/>
        <sz val="11"/>
        <color rgb="FF000000"/>
        <rFont val="宋体"/>
      </rPr>
      <t>）</t>
    </r>
  </si>
  <si>
    <t>hr</t>
  </si>
  <si>
    <t>EU868</t>
  </si>
  <si>
    <t>DR5_SF7_125K_14dB</t>
  </si>
  <si>
    <t>day</t>
  </si>
  <si>
    <t>DR4_SF8_125K_14dB</t>
  </si>
  <si>
    <t>mo</t>
  </si>
  <si>
    <t>DR3_SF9_125K_14dB</t>
  </si>
  <si>
    <t>yr</t>
  </si>
  <si>
    <t>DR2_SF10_125K_14dB</t>
  </si>
  <si>
    <t>DR1_SF11_125K_14dB</t>
  </si>
  <si>
    <t>DR0_SF12_125K_14dB</t>
  </si>
  <si>
    <r>
      <rPr>
        <b/>
        <charset val="134"/>
        <sz val="11"/>
        <color rgb="FF000000"/>
        <rFont val="Calibri"/>
      </rPr>
      <t>STM32</t>
    </r>
    <r>
      <rPr>
        <b/>
        <charset val="134"/>
        <sz val="11"/>
        <color rgb="FF000000"/>
        <rFont val="宋体"/>
      </rPr>
      <t>平均功耗</t>
    </r>
  </si>
  <si>
    <t>US915</t>
  </si>
  <si>
    <t>DR3_SF7_125K_20dB</t>
  </si>
  <si>
    <t xml:space="preserve">  </t>
  </si>
  <si>
    <t>DR2_SF8_125K_20dB</t>
  </si>
  <si>
    <t>DR1_SF9_125K_20dB</t>
  </si>
  <si>
    <t>DR0_SF10_125K_20dB</t>
  </si>
  <si>
    <t>`</t>
  </si>
  <si>
    <r>
      <rPr>
        <b/>
        <charset val="134"/>
        <sz val="11"/>
        <color rgb="FF000000"/>
        <rFont val="Calibri"/>
      </rPr>
      <t>TX</t>
    </r>
    <r>
      <rPr>
        <b/>
        <charset val="134"/>
        <sz val="11"/>
        <color rgb="FF000000"/>
        <rFont val="宋体"/>
      </rPr>
      <t>时间</t>
    </r>
  </si>
  <si>
    <r>
      <rPr>
        <b/>
        <charset val="134"/>
        <sz val="11"/>
        <color rgb="FF000000"/>
        <rFont val="Calibri"/>
      </rPr>
      <t>RX1</t>
    </r>
    <r>
      <rPr>
        <b/>
        <charset val="134"/>
        <sz val="11"/>
        <color rgb="FF000000"/>
        <rFont val="宋体"/>
      </rPr>
      <t>时间</t>
    </r>
  </si>
  <si>
    <r>
      <rPr>
        <b/>
        <charset val="134"/>
        <sz val="11"/>
        <color rgb="FF000000"/>
        <rFont val="Calibri"/>
      </rPr>
      <t>RX2</t>
    </r>
    <r>
      <rPr>
        <b/>
        <charset val="134"/>
        <sz val="11"/>
        <color rgb="FF000000"/>
        <rFont val="宋体"/>
      </rPr>
      <t>时间</t>
    </r>
  </si>
  <si>
    <r>
      <rPr>
        <b/>
        <charset val="134"/>
        <sz val="11"/>
        <color rgb="FF000000"/>
        <rFont val="宋体"/>
      </rPr>
      <t>看门狗时间</t>
    </r>
  </si>
  <si>
    <r>
      <rPr>
        <b/>
        <charset val="134"/>
        <sz val="11"/>
        <color rgb="FF000000"/>
        <rFont val="Calibri"/>
      </rPr>
      <t>TX</t>
    </r>
    <r>
      <rPr>
        <b/>
        <charset val="134"/>
        <sz val="11"/>
        <color rgb="FF000000"/>
        <rFont val="宋体"/>
      </rPr>
      <t>电流</t>
    </r>
  </si>
  <si>
    <r>
      <rPr>
        <b/>
        <charset val="134"/>
        <sz val="11"/>
        <color rgb="FF000000"/>
        <rFont val="Calibri"/>
      </rPr>
      <t>RX1</t>
    </r>
    <r>
      <rPr>
        <b/>
        <charset val="134"/>
        <sz val="11"/>
        <color rgb="FF000000"/>
        <rFont val="宋体"/>
      </rPr>
      <t>电流</t>
    </r>
  </si>
  <si>
    <r>
      <rPr>
        <b/>
        <charset val="134"/>
        <sz val="11"/>
        <color rgb="FF000000"/>
        <rFont val="Calibri"/>
      </rPr>
      <t>RX2</t>
    </r>
    <r>
      <rPr>
        <b/>
        <charset val="134"/>
        <sz val="11"/>
        <color rgb="FF000000"/>
        <rFont val="宋体"/>
      </rPr>
      <t>电流</t>
    </r>
  </si>
  <si>
    <t>蓝牙时间</t>
  </si>
  <si>
    <r>
      <rPr>
        <b/>
        <charset val="134"/>
        <sz val="11"/>
        <color rgb="FF000000"/>
        <rFont val="宋体"/>
      </rPr>
      <t>看门狗电流</t>
    </r>
  </si>
  <si>
    <t>蓝牙电流</t>
  </si>
  <si>
    <r>
      <rPr>
        <b/>
        <charset val="134"/>
        <sz val="11"/>
        <color rgb="FF000000"/>
        <rFont val="Calibri"/>
      </rPr>
      <t>TX</t>
    </r>
    <r>
      <rPr>
        <b/>
        <charset val="134"/>
        <sz val="11"/>
        <color rgb="FF000000"/>
        <rFont val="宋体"/>
      </rPr>
      <t>功耗</t>
    </r>
  </si>
  <si>
    <r>
      <rPr>
        <b/>
        <charset val="134"/>
        <sz val="11"/>
        <color rgb="FF000000"/>
        <rFont val="Calibri"/>
      </rPr>
      <t>RX1</t>
    </r>
    <r>
      <rPr>
        <b/>
        <charset val="134"/>
        <sz val="11"/>
        <color rgb="FF000000"/>
        <rFont val="宋体"/>
      </rPr>
      <t>功耗</t>
    </r>
  </si>
  <si>
    <r>
      <rPr>
        <b/>
        <charset val="134"/>
        <sz val="11"/>
        <color rgb="FF000000"/>
        <rFont val="Calibri"/>
      </rPr>
      <t>RX2</t>
    </r>
    <r>
      <rPr>
        <b/>
        <charset val="134"/>
        <sz val="11"/>
        <color rgb="FF000000"/>
        <rFont val="宋体"/>
      </rPr>
      <t>功耗</t>
    </r>
  </si>
  <si>
    <r>
      <rPr>
        <b/>
        <charset val="134"/>
        <sz val="11"/>
        <color rgb="FF000000"/>
        <rFont val="宋体"/>
      </rPr>
      <t>看门狗功耗</t>
    </r>
  </si>
  <si>
    <t>蓝牙功耗</t>
  </si>
  <si>
    <r>
      <rPr>
        <b/>
        <charset val="134"/>
        <sz val="11"/>
        <color rgb="FF000000"/>
        <rFont val="宋体"/>
      </rPr>
      <t>采集时间</t>
    </r>
  </si>
  <si>
    <r>
      <rPr>
        <b/>
        <charset val="134"/>
        <sz val="11"/>
        <color rgb="FF000000"/>
        <rFont val="宋体"/>
      </rPr>
      <t>采集电流</t>
    </r>
  </si>
  <si>
    <r>
      <rPr>
        <b/>
        <charset val="134"/>
        <sz val="11"/>
        <color rgb="FF000000"/>
        <rFont val="宋体"/>
      </rPr>
      <t>睡眠时间</t>
    </r>
  </si>
  <si>
    <r>
      <rPr>
        <b/>
        <charset val="134"/>
        <sz val="11"/>
        <color rgb="FF000000"/>
        <rFont val="宋体"/>
      </rPr>
      <t>睡眠电流</t>
    </r>
  </si>
  <si>
    <r>
      <rPr>
        <b/>
        <charset val="134"/>
        <sz val="11"/>
        <color rgb="FF000000"/>
        <rFont val="宋体"/>
      </rPr>
      <t>睡眠功耗</t>
    </r>
  </si>
  <si>
    <r>
      <rPr>
        <b/>
        <charset val="134"/>
        <sz val="11"/>
        <color rgb="FF000000"/>
        <rFont val="宋体"/>
      </rPr>
      <t>采集功耗</t>
    </r>
  </si>
  <si>
    <r>
      <rPr>
        <b/>
        <charset val="134"/>
        <sz val="11"/>
        <color rgb="FF000000"/>
        <rFont val="宋体"/>
      </rPr>
      <t>气体检测时间</t>
    </r>
  </si>
  <si>
    <r>
      <rPr>
        <b/>
        <charset val="134"/>
        <sz val="11"/>
        <color rgb="FF000000"/>
        <rFont val="宋体"/>
      </rPr>
      <t>气体检测电流</t>
    </r>
  </si>
  <si>
    <r>
      <rPr>
        <b/>
        <charset val="134"/>
        <sz val="11"/>
        <color rgb="FF000000"/>
        <rFont val="宋体"/>
      </rPr>
      <t>气体检测功耗</t>
    </r>
  </si>
  <si>
    <t>LHT65_LoRaWAN_Temperature___Humidity_Sensor</t>
  </si>
  <si>
    <t>EXT=1,WMOD=1</t>
  </si>
  <si>
    <t>EXT=4,WMOD=1</t>
  </si>
  <si>
    <t>LSN50_V2____Waterproof_Long_Range_Wireless_LoRa_Sensor_Node</t>
  </si>
  <si>
    <t>EXT=5,WMOD=1</t>
  </si>
  <si>
    <t>LAQ4____LoRaWAN_Air_Quality_Sensor</t>
  </si>
  <si>
    <t>EXT=6,WMOD=1</t>
  </si>
  <si>
    <t>LDDS75_LoRaWAN_Distance_Detection_Sensor</t>
  </si>
  <si>
    <t>EXT=8,WMOD=1</t>
  </si>
  <si>
    <t>LDDS20_LoRaWAN_Liquid_Level_Sensor</t>
  </si>
  <si>
    <t>EXT=9,WMOD=1</t>
  </si>
  <si>
    <t>LSE01_LoRaWAN_Soil_Moisture___EC_Sensor</t>
  </si>
  <si>
    <t>EXT=1 with DS18B20,WMOD=1</t>
  </si>
  <si>
    <t>LDS01____LoRaWAN_Door_Sensor</t>
  </si>
  <si>
    <t>MOD=1</t>
  </si>
  <si>
    <t>LWL01____LoRaWAN_Water_Leak</t>
  </si>
  <si>
    <t>LSN50v2_D20____LoRaWAN_Waterproof__Outdoor_Temperature_Sensor</t>
  </si>
  <si>
    <t>MOD=2_V3HP</t>
  </si>
  <si>
    <t>LSN50v2_S31____LoRaWAN_Temperature___Humidity_Sensor</t>
  </si>
  <si>
    <t>MOD=2_JSN</t>
  </si>
  <si>
    <t>LTC2_V1.0</t>
  </si>
  <si>
    <t>MOD=2_TF-MINI</t>
  </si>
  <si>
    <t>LDS02____LoRaWAN_Door_Sensor</t>
  </si>
  <si>
    <t>MOD=3</t>
  </si>
  <si>
    <t>LWL02____LoRaWAN_Water_Leak</t>
  </si>
  <si>
    <t>MOD=4</t>
  </si>
  <si>
    <t>LLMS01____LoRaWAN_Leaf_Moisture_Sensor_V1.0</t>
  </si>
  <si>
    <t>MOD=5</t>
  </si>
  <si>
    <t>LSNPK01____LoRaWAN_Soil_NPK_Sensor_V1.0</t>
  </si>
  <si>
    <t>MOD=6</t>
  </si>
  <si>
    <t>LSPH01____LoRaWAN_Soil_Ph_Sensor_V1.0</t>
  </si>
  <si>
    <t>LDS03A____LoRaWAN_Door_Sensor</t>
  </si>
  <si>
    <t>MOD=2</t>
  </si>
  <si>
    <t>WMOD=1</t>
  </si>
  <si>
    <t>EXT=2</t>
  </si>
  <si>
    <t>EXT=3</t>
  </si>
  <si>
    <t>EXT=4</t>
  </si>
  <si>
    <t>EXT=5</t>
  </si>
  <si>
    <t>EXT=6</t>
  </si>
  <si>
    <t>EXT=8</t>
  </si>
  <si>
    <t>EXT=9</t>
  </si>
  <si>
    <t>EXT=1 with DS18B20</t>
  </si>
  <si>
    <t>EXT=1,with DS18B20</t>
  </si>
  <si>
    <t>Document Version:</t>
  </si>
  <si>
    <t>V1.2</t>
  </si>
  <si>
    <t>Add LHT52</t>
  </si>
  <si>
    <t>v1.1</t>
  </si>
  <si>
    <t>Add LDS03A, notice, Open/Close behavior will send an uplink, this will affect the battery life much. 
By default, the LDS03A uplink every 2 hours. So TDC is 120 minutes. If the average open/close event is 5 times/hour. Users can change TDC to 120/11 ~=11 minutes. To save battery, users can set disalarm=1 so device won't uplink event on each open/close</t>
  </si>
  <si>
    <t>v1.0</t>
  </si>
  <si>
    <t>release</t>
  </si>
  <si>
    <r>
      <rPr>
        <b/>
        <charset val="134"/>
        <sz val="11"/>
        <color rgb="FF000000"/>
        <rFont val="Calibri"/>
      </rPr>
      <t xml:space="preserve">How to use:
1.Please do not modify the formula in the table
2.After selecting the </t>
    </r>
    <r>
      <rPr>
        <b/>
        <charset val="134"/>
        <sz val="11"/>
        <color rgb="FFFFFFFF"/>
        <rFont val="Calibri"/>
      </rPr>
      <t>product number</t>
    </r>
    <r>
      <rPr>
        <b/>
        <charset val="134"/>
        <sz val="11"/>
        <color rgb="FF000000"/>
        <rFont val="Calibri"/>
      </rPr>
      <t xml:space="preserve"> and </t>
    </r>
    <r>
      <rPr>
        <b/>
        <charset val="134"/>
        <sz val="11"/>
        <color rgb="FFFFFFFF"/>
        <rFont val="Calibri"/>
      </rPr>
      <t>model</t>
    </r>
    <r>
      <rPr>
        <b/>
        <charset val="134"/>
        <sz val="11"/>
        <color rgb="FF000000"/>
        <rFont val="Calibri"/>
      </rPr>
      <t xml:space="preserve">, then select the </t>
    </r>
    <r>
      <rPr>
        <b/>
        <charset val="134"/>
        <sz val="11"/>
        <color rgb="FFFFFFFF"/>
        <rFont val="Calibri"/>
      </rPr>
      <t>TDC unit</t>
    </r>
    <r>
      <rPr>
        <b/>
        <charset val="134"/>
        <sz val="11"/>
        <color rgb="FF000000"/>
        <rFont val="Calibri"/>
      </rPr>
      <t xml:space="preserve">, and finally enter the </t>
    </r>
    <r>
      <rPr>
        <b/>
        <charset val="134"/>
        <sz val="11"/>
        <color rgb="FFFFFFFF"/>
        <rFont val="Calibri"/>
      </rPr>
      <t>TDC</t>
    </r>
    <r>
      <rPr>
        <b/>
        <charset val="134"/>
        <sz val="11"/>
        <color rgb="FFFF0000"/>
        <rFont val="Calibri"/>
      </rPr>
      <t>,</t>
    </r>
    <r>
      <rPr>
        <b/>
        <charset val="134"/>
        <sz val="11"/>
        <color rgb="FF000000"/>
        <rFont val="Calibri"/>
      </rPr>
      <t xml:space="preserve"> you can get the predicted battery life
</t>
    </r>
  </si>
  <si>
    <t>LSN50_V2____Waterproof_Long_Range_Wireless_NB_Sensor_Node</t>
  </si>
  <si>
    <t>protocol</t>
  </si>
  <si>
    <r>
      <rPr>
        <b/>
        <charset val="134"/>
        <sz val="11"/>
        <color rgb="FF000000"/>
        <rFont val="Calibri"/>
      </rPr>
      <t>Receive and send power</t>
    </r>
    <r>
      <rPr>
        <b/>
        <charset val="134"/>
        <sz val="11"/>
        <color rgb="FF000000"/>
        <rFont val="宋体"/>
      </rPr>
      <t>（</t>
    </r>
    <r>
      <rPr>
        <b/>
        <charset val="134"/>
        <sz val="11"/>
        <color rgb="FF000000"/>
        <rFont val="Calibri"/>
      </rPr>
      <t>mA*ms</t>
    </r>
    <r>
      <rPr>
        <b/>
        <charset val="134"/>
        <sz val="11"/>
        <color rgb="FF000000"/>
        <rFont val="宋体"/>
      </rPr>
      <t>）</t>
    </r>
  </si>
  <si>
    <t>MQTT</t>
  </si>
  <si>
    <t>COAP</t>
  </si>
  <si>
    <t>UDP</t>
  </si>
  <si>
    <t>TCP</t>
  </si>
  <si>
    <t>协议</t>
  </si>
  <si>
    <t>接收发送时间</t>
  </si>
  <si>
    <t>看门狗时间</t>
  </si>
  <si>
    <t>接收发送电流</t>
  </si>
  <si>
    <t>看门狗电流</t>
  </si>
  <si>
    <t>接收发送功耗</t>
  </si>
  <si>
    <t>看门狗功耗</t>
  </si>
  <si>
    <t>NDDS75_NB_Distance_Detection_Sensor</t>
  </si>
  <si>
    <t>NDDS20_NB_Liquid_Level_Sensor</t>
  </si>
  <si>
    <t>NSE01_NB_Soil_Moisture___EC_Sensor</t>
  </si>
</sst>
</file>

<file path=xl/styles.xml><?xml version="1.0" encoding="utf-8"?>
<styleSheet xmlns="http://schemas.openxmlformats.org/spreadsheetml/2006/main">
  <numFmts count="3">
    <numFmt numFmtId="0" formatCode="General"/>
    <numFmt numFmtId="49" formatCode="@"/>
    <numFmt numFmtId="168" formatCode="0.0_ "/>
  </numFmts>
  <fonts count="10">
    <font>
      <name val="宋体"/>
      <sz val="11"/>
    </font>
    <font>
      <name val="Calibri"/>
      <b/>
      <charset val="134"/>
      <sz val="11"/>
      <color rgb="FF000000"/>
    </font>
    <font>
      <name val="Calibri"/>
      <b/>
      <charset val="134"/>
      <sz val="8"/>
      <color rgb="FF000000"/>
    </font>
    <font>
      <name val="Calibri"/>
      <b/>
      <charset val="134"/>
      <sz val="20"/>
      <color rgb="FFFFFFFF"/>
    </font>
    <font>
      <name val="Calibri"/>
      <b/>
      <charset val="134"/>
      <sz val="14"/>
      <color rgb="FFF2F2F2"/>
    </font>
    <font>
      <name val="Calibri"/>
      <b/>
      <charset val="134"/>
      <sz val="14"/>
      <color rgb="FF000000"/>
    </font>
    <font>
      <name val="Calibri"/>
      <b/>
      <charset val="134"/>
      <sz val="11"/>
    </font>
    <font>
      <name val="宋体"/>
      <b/>
      <charset val="134"/>
      <sz val="11"/>
      <color rgb="FF000000"/>
    </font>
    <font>
      <name val="Cambria"/>
      <charset val="134"/>
      <sz val="11"/>
    </font>
    <font>
      <name val="宋体"/>
      <charset val="134"/>
      <sz val="11"/>
      <color rgb="FF000000"/>
    </font>
  </fonts>
  <fills count="16">
    <fill>
      <patternFill patternType="none"/>
    </fill>
    <fill>
      <patternFill patternType="gray125"/>
    </fill>
    <fill>
      <patternFill patternType="solid">
        <fgColor rgb="FF70AD4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7B699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BF8F00"/>
        <bgColor indexed="64"/>
      </patternFill>
    </fill>
    <fill>
      <patternFill patternType="solid">
        <fgColor rgb="FFFFE59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DC2E5"/>
        <bgColor indexed="64"/>
      </patternFill>
    </fill>
    <fill>
      <patternFill patternType="solid">
        <fgColor rgb="FF4473C4"/>
        <bgColor indexed="64"/>
      </patternFill>
    </fill>
    <fill>
      <patternFill patternType="solid">
        <fgColor rgb="FFC5591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BF00"/>
        <bgColor indexed="64"/>
      </patternFill>
    </fill>
    <fill>
      <patternFill patternType="solid">
        <fgColor rgb="FF7030A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Fill="1" applyAlignment="1">
      <alignment vertical="bottom"/>
    </xf>
    <xf numFmtId="0" fontId="1" fillId="2" borderId="0" xfId="0" applyFont="1" applyFill="1" applyAlignment="1">
      <alignment vertical="bottom"/>
    </xf>
    <xf numFmtId="0" fontId="1" fillId="2" borderId="0" xfId="0" applyFont="1" applyFill="1" applyAlignment="1">
      <alignment horizontal="left" vertical="top" wrapText="1"/>
    </xf>
    <xf numFmtId="0" fontId="1" fillId="3" borderId="0" xfId="0" applyFont="1" applyFill="1" applyAlignment="1">
      <alignment vertical="bottom"/>
    </xf>
    <xf numFmtId="0" fontId="1" fillId="4" borderId="0" xfId="0" applyFont="1" applyFill="1" applyAlignment="1">
      <alignment vertical="bottom"/>
    </xf>
    <xf numFmtId="0" fontId="1" fillId="5" borderId="1" xfId="0" applyFont="1" applyFill="1" applyBorder="1" applyAlignment="1">
      <alignment vertical="bottom"/>
    </xf>
    <xf numFmtId="0" fontId="1" fillId="5" borderId="2" xfId="0" applyFont="1" applyFill="1" applyBorder="1" applyAlignment="1">
      <alignment vertical="bottom"/>
    </xf>
    <xf numFmtId="0" fontId="1" fillId="6" borderId="0" xfId="0" applyFont="1" applyFill="1" applyAlignment="1">
      <alignment vertical="top" wrapText="1"/>
    </xf>
    <xf numFmtId="0" fontId="1" fillId="7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vertical="bottom"/>
    </xf>
    <xf numFmtId="0" fontId="1" fillId="5" borderId="5" xfId="0" applyFont="1" applyFill="1" applyBorder="1" applyAlignment="1">
      <alignment vertical="bottom"/>
    </xf>
    <xf numFmtId="0" fontId="2" fillId="3" borderId="0" xfId="0" applyFont="1" applyFill="1" applyBorder="1" applyAlignment="1">
      <alignment horizontal="center" vertical="bottom"/>
    </xf>
    <xf numFmtId="0" fontId="1" fillId="8" borderId="6" xfId="0" applyFont="1" applyFill="1" applyBorder="1" applyAlignment="1">
      <alignment vertical="bottom"/>
    </xf>
    <xf numFmtId="0" fontId="3" fillId="9" borderId="6" xfId="0" applyFont="1" applyFill="1" applyBorder="1" applyAlignment="1">
      <alignment horizontal="center" vertical="center"/>
    </xf>
    <xf numFmtId="49" fontId="1" fillId="10" borderId="6" xfId="0" applyNumberFormat="1" applyFont="1" applyFill="1" applyBorder="1" applyAlignment="1">
      <alignment vertical="bottom"/>
    </xf>
    <xf numFmtId="0" fontId="1" fillId="8" borderId="0" xfId="0" applyFont="1" applyFill="1" applyAlignment="1">
      <alignment vertical="bottom"/>
    </xf>
    <xf numFmtId="0" fontId="3" fillId="9" borderId="0" xfId="0" applyFont="1" applyFill="1" applyAlignment="1">
      <alignment horizontal="center" vertical="center"/>
    </xf>
    <xf numFmtId="49" fontId="1" fillId="10" borderId="0" xfId="0" applyNumberFormat="1" applyFont="1" applyFill="1" applyAlignment="1">
      <alignment vertical="bottom"/>
    </xf>
    <xf numFmtId="0" fontId="1" fillId="6" borderId="4" xfId="0" applyFont="1" applyFill="1" applyBorder="1" applyAlignment="1">
      <alignment vertical="bottom"/>
    </xf>
    <xf numFmtId="0" fontId="1" fillId="11" borderId="7" xfId="0" applyFont="1" applyFill="1" applyBorder="1" applyAlignment="1">
      <alignment vertical="bottom"/>
    </xf>
    <xf numFmtId="0" fontId="1" fillId="11" borderId="1" xfId="0" applyFont="1" applyFill="1" applyBorder="1" applyAlignment="1">
      <alignment vertical="bottom"/>
      <protection locked="0" hidden="1"/>
    </xf>
    <xf numFmtId="168" fontId="4" fillId="11" borderId="1" xfId="0" applyNumberFormat="1" applyFont="1" applyFill="1" applyBorder="1" applyAlignment="1">
      <alignment vertical="bottom"/>
      <protection locked="0" hidden="1"/>
    </xf>
    <xf numFmtId="0" fontId="1" fillId="4" borderId="1" xfId="0" applyFont="1" applyFill="1" applyBorder="1" applyAlignment="1">
      <alignment vertical="bottom"/>
      <protection locked="0" hidden="1"/>
    </xf>
    <xf numFmtId="0" fontId="1" fillId="4" borderId="8" xfId="0" applyFont="1" applyFill="1" applyBorder="1" applyAlignment="1">
      <alignment vertical="bottom"/>
      <protection locked="0" hidden="1"/>
    </xf>
    <xf numFmtId="0" fontId="5" fillId="4" borderId="2" xfId="0" applyFont="1" applyFill="1" applyBorder="1" applyAlignment="1">
      <alignment vertical="bottom"/>
      <protection locked="0" hidden="1"/>
    </xf>
    <xf numFmtId="0" fontId="6" fillId="12" borderId="7" xfId="0" applyFont="1" applyFill="1" applyBorder="1" applyAlignment="1">
      <alignment vertical="bottom"/>
    </xf>
    <xf numFmtId="0" fontId="6" fillId="12" borderId="1" xfId="0" applyFont="1" applyFill="1" applyBorder="1" applyAlignment="1">
      <alignment vertical="bottom"/>
    </xf>
    <xf numFmtId="0" fontId="1" fillId="12" borderId="1" xfId="0" applyFont="1" applyFill="1" applyBorder="1" applyAlignment="1">
      <alignment vertical="bottom"/>
      <protection locked="0" hidden="1"/>
    </xf>
    <xf numFmtId="0" fontId="1" fillId="12" borderId="1" xfId="0" applyFont="1" applyFill="1" applyBorder="1" applyAlignment="1">
      <alignment vertical="bottom"/>
    </xf>
    <xf numFmtId="168" fontId="4" fillId="12" borderId="1" xfId="0" applyNumberFormat="1" applyFont="1" applyFill="1" applyBorder="1" applyAlignment="1">
      <alignment vertical="bottom"/>
      <protection locked="0" hidden="1"/>
    </xf>
    <xf numFmtId="0" fontId="7" fillId="0" borderId="0" xfId="0" applyFont="1" applyFill="1" applyAlignment="1">
      <alignment vertical="bottom"/>
    </xf>
    <xf numFmtId="0" fontId="1" fillId="13" borderId="0" xfId="0" applyFont="1" applyFill="1" applyAlignment="1">
      <alignment vertical="bottom"/>
    </xf>
    <xf numFmtId="0" fontId="1" fillId="6" borderId="0" xfId="0" applyFont="1" applyFill="1" applyAlignment="1">
      <alignment vertical="bottom"/>
    </xf>
    <xf numFmtId="0" fontId="1" fillId="14" borderId="0" xfId="0" applyFont="1" applyFill="1" applyAlignment="1">
      <alignment vertical="bottom"/>
    </xf>
    <xf numFmtId="0" fontId="1" fillId="13" borderId="0" xfId="0" applyFont="1" applyFill="1" applyAlignment="1">
      <alignment horizontal="right" vertical="bottom"/>
    </xf>
    <xf numFmtId="0" fontId="1" fillId="0" borderId="0" xfId="0" applyNumberFormat="1" applyFont="1" applyFill="1" applyAlignment="1">
      <alignment vertical="bottom"/>
    </xf>
    <xf numFmtId="0" fontId="1" fillId="0" borderId="0" xfId="0" applyFont="1" applyFill="1" applyAlignment="1">
      <alignment vertical="top"/>
    </xf>
    <xf numFmtId="0" fontId="1" fillId="0" borderId="0" xfId="0" applyFont="1" applyFill="1" applyAlignment="1">
      <alignment horizontal="left" vertical="bottom" wrapText="1"/>
    </xf>
    <xf numFmtId="0" fontId="1" fillId="6" borderId="9" xfId="0" applyFont="1" applyFill="1" applyBorder="1" applyAlignment="1">
      <alignment vertical="top" wrapText="1"/>
    </xf>
    <xf numFmtId="0" fontId="1" fillId="8" borderId="4" xfId="0" applyFont="1" applyFill="1" applyBorder="1" applyAlignment="1">
      <alignment vertical="bottom"/>
    </xf>
    <xf numFmtId="0" fontId="3" fillId="9" borderId="5" xfId="0" applyFont="1" applyFill="1" applyBorder="1" applyAlignment="1">
      <alignment horizontal="center" vertical="center"/>
    </xf>
    <xf numFmtId="49" fontId="1" fillId="10" borderId="5" xfId="0" applyNumberFormat="1" applyFont="1" applyFill="1" applyBorder="1" applyAlignment="1">
      <alignment vertical="bottom"/>
    </xf>
    <xf numFmtId="0" fontId="1" fillId="8" borderId="3" xfId="0" applyFont="1" applyFill="1" applyBorder="1" applyAlignment="1">
      <alignment vertical="bottom"/>
    </xf>
    <xf numFmtId="0" fontId="3" fillId="9" borderId="10" xfId="0" applyFont="1" applyFill="1" applyBorder="1" applyAlignment="1">
      <alignment horizontal="center" vertical="center"/>
    </xf>
    <xf numFmtId="49" fontId="1" fillId="10" borderId="10" xfId="0" applyNumberFormat="1" applyFont="1" applyFill="1" applyBorder="1" applyAlignment="1">
      <alignment vertical="bottom"/>
    </xf>
    <xf numFmtId="0" fontId="8" fillId="15" borderId="7" xfId="0" applyFont="1" applyFill="1" applyBorder="1">
      <alignment vertical="center"/>
    </xf>
    <xf numFmtId="0" fontId="9" fillId="13" borderId="11" xfId="0" applyFill="1" applyBorder="1">
      <alignment vertical="center"/>
    </xf>
    <xf numFmtId="0" fontId="9" fillId="6" borderId="2" xfId="0" applyFill="1" applyBorder="1">
      <alignment vertical="center"/>
    </xf>
    <xf numFmtId="0" fontId="9" fillId="6" borderId="1" xfId="0" applyFill="1" applyBorder="1">
      <alignment vertical="center"/>
    </xf>
    <xf numFmtId="0" fontId="9" fillId="13" borderId="1" xfId="0" applyFill="1" applyBorder="1">
      <alignment vertical="center"/>
    </xf>
  </cellXfs>
  <cellStyles count="1">
    <cellStyle name="常规" xfId="0" builtinId="0"/>
  </cellStyles>
  <dxfs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0.png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image" Target="../media/image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190721</xdr:colOff>
      <xdr:row>0</xdr:row>
      <xdr:rowOff>37951</xdr:rowOff>
    </xdr:from>
    <xdr:to>
      <xdr:col>1</xdr:col>
      <xdr:colOff>1602267</xdr:colOff>
      <xdr:row>2</xdr:row>
      <xdr:rowOff>139154</xdr:rowOff>
    </xdr:to>
    <xdr:pic>
      <xdr:nvPicPr>
        <xdr:cNvPr id="2" name="图片 15" descr=" 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91135" y="39370"/>
          <a:ext cx="2098675" cy="48768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4</xdr:col>
      <xdr:colOff>961637</xdr:colOff>
      <xdr:row>6</xdr:row>
      <xdr:rowOff>113853</xdr:rowOff>
    </xdr:from>
    <xdr:to>
      <xdr:col>4</xdr:col>
      <xdr:colOff>694051</xdr:colOff>
      <xdr:row>10</xdr:row>
      <xdr:rowOff>318492</xdr:rowOff>
    </xdr:to>
    <xdr:sp macro="" textlink="">
      <xdr:nvSpPr>
        <xdr:cNvPr id="3" name=" "/>
        <xdr:cNvSpPr txBox="1"/>
      </xdr:nvSpPr>
      <xdr:spPr>
        <a:xfrm>
          <a:off x="6981825" y="1266825"/>
          <a:ext cx="309880" cy="1006475"/>
        </a:xfrm>
        <a:prstGeom prst="rect">
          <a:avLst/>
        </a:prstGeom>
        <a:noFill/>
        <a:ln w="9525" cap="flat" cmpd="sng">
          <a:solidFill>
            <a:srgbClr val="ffffff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vert="wordArtVertRtl" lIns="90000" tIns="46800" rIns="90000" bIns="46800" anchor="t"/>
        <a:lstStyle/>
        <a:p>
          <a:pPr algn="l"/>
          <a:r>
            <a:rPr lang="en-US" altLang="zh-CN" sz="1200">
              <a:solidFill>
                <a:srgbClr val="000000"/>
              </a:solidFill>
              <a:latin typeface="Calibri" panose="" pitchFamily="0" charset="0"/>
              <a:ea typeface="Calibri" panose="" pitchFamily="0" charset="0"/>
            </a:rPr>
            <a:t>current</a:t>
          </a:r>
          <a:r>
            <a:rPr lang="en-US" altLang="zh-CN" sz="1200">
              <a:solidFill>
                <a:srgbClr val="000000"/>
              </a:solidFill>
              <a:latin typeface="宋体" panose="" pitchFamily="0" charset="0"/>
              <a:ea typeface="宋体" panose="" pitchFamily="0" charset="0"/>
            </a:rPr>
            <a:t>（</a:t>
          </a:r>
          <a:r>
            <a:rPr lang="en-US" altLang="zh-CN" sz="1200">
              <a:solidFill>
                <a:srgbClr val="000000"/>
              </a:solidFill>
              <a:latin typeface="Calibri" panose="" pitchFamily="0" charset="0"/>
              <a:ea typeface="Calibri" panose="" pitchFamily="0" charset="0"/>
            </a:rPr>
            <a:t>mA</a:t>
          </a:r>
          <a:r>
            <a:rPr lang="en-US" altLang="zh-CN" sz="1200">
              <a:solidFill>
                <a:srgbClr val="000000"/>
              </a:solidFill>
              <a:latin typeface="宋体" panose="" pitchFamily="0" charset="0"/>
              <a:ea typeface="宋体" panose="" pitchFamily="0" charset="0"/>
            </a:rPr>
            <a:t>）</a:t>
          </a:r>
        </a:p>
      </xdr:txBody>
    </xdr:sp>
    <xdr:clientData/>
  </xdr:twoCellAnchor>
  <xdr:twoCellAnchor>
    <xdr:from>
      <xdr:col>4</xdr:col>
      <xdr:colOff>1237585</xdr:colOff>
      <xdr:row>4</xdr:row>
      <xdr:rowOff>50601</xdr:rowOff>
    </xdr:from>
    <xdr:to>
      <xdr:col>11</xdr:col>
      <xdr:colOff>1417868</xdr:colOff>
      <xdr:row>11</xdr:row>
      <xdr:rowOff>88552</xdr:rowOff>
    </xdr:to>
    <xdr:grpSp>
      <xdr:nvGrpSpPr>
        <xdr:cNvPr id="4" name=" "/>
        <xdr:cNvGrpSpPr/>
      </xdr:nvGrpSpPr>
      <xdr:grpSpPr>
        <a:xfrm>
          <a:off x="812505" y="1612361"/>
          <a:ext cx="14078219" cy="23238820"/>
          <a:chOff x="6829425" y="809625"/>
          <a:chExt cx="8896350" cy="1559560"/>
        </a:xfrm>
      </xdr:grpSpPr>
      <xdr:sp macro="" textlink="">
        <xdr:nvSpPr>
          <xdr:cNvPr id="4" name=" "/>
          <xdr:cNvSpPr txBox="1"/>
        </xdr:nvSpPr>
        <xdr:spPr>
          <a:xfrm>
            <a:off x="6868160" y="2105660"/>
            <a:ext cx="1347470" cy="263525"/>
          </a:xfrm>
          <a:prstGeom prst="rect">
            <a:avLst/>
          </a:prstGeom>
          <a:noFill/>
          <a:ln w="9525" cap="flat" cmpd="sng">
            <a:solidFill>
              <a:srgbClr val="ffffff"/>
            </a:solidFill>
            <a:prstDash val="solid"/>
            <a:round/>
          </a:ln>
          <a:effectLst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lIns="90000" tIns="46800" rIns="90000" bIns="46800" anchor="t"/>
          <a:lstStyle/>
          <a:p>
            <a:pPr algn="l"/>
            <a:r>
              <a:rPr lang="en-US" altLang="zh-CN" sz="1100" b="1">
                <a:solidFill>
                  <a:srgbClr val="000000"/>
                </a:solidFill>
                <a:latin typeface="Calibri" panose="" pitchFamily="0" charset="0"/>
                <a:ea typeface="Calibri" panose="" pitchFamily="0" charset="0"/>
              </a:rPr>
              <a:t>time (ms)</a:t>
            </a:r>
          </a:p>
        </xdr:txBody>
      </xdr:sp>
      <xdr:grpSp>
        <xdr:nvGrpSpPr>
          <xdr:cNvPr id="5" name=" "/>
          <xdr:cNvGrpSpPr/>
        </xdr:nvGrpSpPr>
        <xdr:grpSpPr>
          <a:xfrm>
            <a:off x="6829425" y="809625"/>
            <a:ext cx="8896350" cy="1381125"/>
            <a:chOff x="6781800" y="742950"/>
            <a:chExt cx="8896350" cy="1381125"/>
          </a:xfrm>
        </xdr:grpSpPr>
        <xdr:cxnSp macro="">
          <xdr:nvCxnSpPr>
            <xdr:cNvPr id="5" name="straightConnector1"/>
            <xdr:cNvSpPr/>
            <xdr:cNvCxnSpPr/>
          </xdr:nvCxnSpPr>
          <xdr:spPr>
            <a:xfrm flipV="1">
              <a:off x="6781800" y="800100"/>
              <a:ext cx="9525" cy="1323975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/>
              <a:headEnd type="none" w="med" len="med"/>
              <a:tailEnd type="triangle" w="med" len="med"/>
            </a:ln>
            <a:effectLst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dk1"/>
            </a:fontRef>
          </xdr:style>
        </xdr:cxnSp>
        <xdr:sp macro="" textlink="">
          <xdr:nvSpPr>
            <xdr:cNvPr id="6" name=" "/>
            <xdr:cNvSpPr txBox="1"/>
          </xdr:nvSpPr>
          <xdr:spPr>
            <a:xfrm>
              <a:off x="6859270" y="1609725"/>
              <a:ext cx="285115" cy="485775"/>
            </a:xfrm>
            <a:prstGeom prst="rect">
              <a:avLst/>
            </a:prstGeom>
            <a:solidFill>
              <a:srgbClr val="ffffff"/>
            </a:solidFill>
            <a:ln w="3175" cap="flat" cmpd="sng">
              <a:solidFill>
                <a:srgbClr val="000000"/>
              </a:solidFill>
              <a:prstDash val="solid"/>
              <a:miter/>
            </a:ln>
            <a:effectLst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vert="wordArtVertRtl" lIns="144145" tIns="46800" rIns="36195" bIns="46800" anchor="t"/>
            <a:lstStyle/>
            <a:p>
              <a:pPr algn="l"/>
              <a:r>
                <a:rPr lang="en-US" altLang="zh-CN" sz="1100" b="1">
                  <a:solidFill>
                    <a:srgbClr val="000000"/>
                  </a:solidFill>
                  <a:latin typeface="Calibri" panose="" pitchFamily="0" charset="0"/>
                  <a:ea typeface="Calibri" panose="" pitchFamily="0" charset="0"/>
                </a:rPr>
                <a:t>WD</a:t>
              </a:r>
            </a:p>
          </xdr:txBody>
        </xdr:sp>
        <xdr:sp macro="" textlink="">
          <xdr:nvSpPr>
            <xdr:cNvPr id="7" name=" "/>
            <xdr:cNvSpPr txBox="1"/>
          </xdr:nvSpPr>
          <xdr:spPr>
            <a:xfrm>
              <a:off x="7162799" y="1905000"/>
              <a:ext cx="885825" cy="178435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ffffff"/>
              </a:solidFill>
              <a:prstDash val="solid"/>
              <a:round/>
            </a:ln>
            <a:effectLst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lIns="90000" tIns="0" rIns="90000" bIns="0" anchor="t"/>
            <a:lstStyle/>
            <a:p>
              <a:pPr algn="ctr"/>
              <a:r>
                <a:rPr lang="en-US" altLang="zh-CN" sz="1100" b="1">
                  <a:solidFill>
                    <a:srgbClr val="000000"/>
                  </a:solidFill>
                  <a:latin typeface="Calibri" panose="" pitchFamily="0" charset="0"/>
                  <a:ea typeface="Calibri" panose="" pitchFamily="0" charset="0"/>
                </a:rPr>
                <a:t>sleep</a:t>
              </a:r>
            </a:p>
          </xdr:txBody>
        </xdr:sp>
        <xdr:sp macro="" textlink="">
          <xdr:nvSpPr>
            <xdr:cNvPr id="8" name=" "/>
            <xdr:cNvSpPr txBox="1"/>
          </xdr:nvSpPr>
          <xdr:spPr>
            <a:xfrm>
              <a:off x="8058150" y="1371600"/>
              <a:ext cx="209550" cy="714375"/>
            </a:xfrm>
            <a:prstGeom prst="rect">
              <a:avLst/>
            </a:prstGeom>
            <a:solidFill>
              <a:srgbClr val="ffffff"/>
            </a:solidFill>
            <a:ln w="12700" cap="flat" cmpd="sng">
              <a:solidFill>
                <a:srgbClr val="bcbcbc"/>
              </a:solidFill>
              <a:prstDash val="solid"/>
              <a:miter/>
            </a:ln>
            <a:effectLst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vert="wordArtVertRtl" lIns="0" tIns="0" rIns="0" bIns="0" anchor="t"/>
            <a:lstStyle/>
            <a:p>
              <a:pPr algn="l"/>
              <a:r>
                <a:rPr lang="en-US" altLang="zh-CN" sz="1000">
                  <a:solidFill>
                    <a:srgbClr val="000000"/>
                  </a:solidFill>
                  <a:latin typeface="+mn-lt" panose="" pitchFamily="0" charset="0"/>
                  <a:ea typeface="+mn-lt" panose="" pitchFamily="0" charset="0"/>
                </a:rPr>
                <a:t>   Sampling</a:t>
              </a:r>
            </a:p>
          </xdr:txBody>
        </xdr:sp>
        <xdr:sp macro="" textlink="">
          <xdr:nvSpPr>
            <xdr:cNvPr id="9" name=" "/>
            <xdr:cNvSpPr txBox="1"/>
          </xdr:nvSpPr>
          <xdr:spPr>
            <a:xfrm>
              <a:off x="8268335" y="742950"/>
              <a:ext cx="256540" cy="1343025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bcbcbc"/>
              </a:solidFill>
              <a:prstDash val="solid"/>
              <a:miter/>
            </a:ln>
            <a:effectLst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vert="wordArtVertRtl" lIns="107950" tIns="46800" rIns="36195" bIns="46800" anchor="t"/>
            <a:lstStyle/>
            <a:p>
              <a:pPr algn="l"/>
              <a:r>
                <a:rPr lang="en-US" altLang="zh-CN" sz="1100" b="1">
                  <a:solidFill>
                    <a:srgbClr val="000000"/>
                  </a:solidFill>
                  <a:latin typeface="Calibri" panose="" pitchFamily="0" charset="0"/>
                  <a:ea typeface="Calibri" panose="" pitchFamily="0" charset="0"/>
                </a:rPr>
                <a:t>TX</a:t>
              </a:r>
            </a:p>
          </xdr:txBody>
        </xdr:sp>
        <xdr:sp macro="" textlink="">
          <xdr:nvSpPr>
            <xdr:cNvPr id="10" name=" "/>
            <xdr:cNvSpPr txBox="1"/>
          </xdr:nvSpPr>
          <xdr:spPr>
            <a:xfrm>
              <a:off x="9260206" y="1219200"/>
              <a:ext cx="236220" cy="866775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bcbcbc"/>
              </a:solidFill>
              <a:prstDash val="solid"/>
              <a:miter/>
            </a:ln>
            <a:effectLst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vert="wordArtVertRtl" lIns="0" tIns="46800" rIns="36195" bIns="46800" anchor="t"/>
            <a:lstStyle/>
            <a:p>
              <a:pPr algn="l"/>
              <a:r>
                <a:rPr lang="en-US" altLang="zh-CN" sz="1100" b="1">
                  <a:solidFill>
                    <a:srgbClr val="000000"/>
                  </a:solidFill>
                  <a:latin typeface="Calibri" panose="" pitchFamily="0" charset="0"/>
                  <a:ea typeface="Calibri" panose="" pitchFamily="0" charset="0"/>
                </a:rPr>
                <a:t>RX1</a:t>
              </a:r>
            </a:p>
          </xdr:txBody>
        </xdr:sp>
        <xdr:sp macro="" textlink="">
          <xdr:nvSpPr>
            <xdr:cNvPr id="11" name=" "/>
            <xdr:cNvSpPr txBox="1"/>
          </xdr:nvSpPr>
          <xdr:spPr>
            <a:xfrm>
              <a:off x="9810749" y="1219200"/>
              <a:ext cx="219076" cy="857250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bcbcbc"/>
              </a:solidFill>
              <a:prstDash val="solid"/>
              <a:miter/>
            </a:ln>
            <a:effectLst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vert="wordArtVertRtl" lIns="107950" tIns="46800" rIns="36195" bIns="46800" anchor="t"/>
            <a:lstStyle/>
            <a:p>
              <a:pPr algn="l"/>
              <a:r>
                <a:rPr lang="en-US" altLang="zh-CN" sz="1100" b="1">
                  <a:solidFill>
                    <a:srgbClr val="000000"/>
                  </a:solidFill>
                  <a:latin typeface="Calibri" panose="" pitchFamily="0" charset="0"/>
                  <a:ea typeface="Calibri" panose="" pitchFamily="0" charset="0"/>
                </a:rPr>
                <a:t>RX2</a:t>
              </a:r>
            </a:p>
          </xdr:txBody>
        </xdr:sp>
        <xdr:sp macro="" textlink="">
          <xdr:nvSpPr>
            <xdr:cNvPr id="12" name=" "/>
            <xdr:cNvSpPr txBox="1"/>
          </xdr:nvSpPr>
          <xdr:spPr>
            <a:xfrm>
              <a:off x="10601325" y="1552575"/>
              <a:ext cx="285750" cy="533400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bcbcbc"/>
              </a:solidFill>
              <a:prstDash val="solid"/>
              <a:miter/>
            </a:ln>
            <a:effectLst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lIns="90000" tIns="46800" rIns="90000" bIns="46800" anchor="t"/>
            <a:lstStyle/>
            <a:p>
              <a:pPr algn="l"/>
              <a:r>
                <a:rPr lang="en-US" altLang="zh-CN" sz="1100" b="1">
                  <a:solidFill>
                    <a:srgbClr val="000000"/>
                  </a:solidFill>
                  <a:latin typeface="Calibri" panose="" pitchFamily="0" charset="0"/>
                  <a:ea typeface="Calibri" panose="" pitchFamily="0" charset="0"/>
                </a:rPr>
                <a:t>W</a:t>
              </a:r>
              <a:r>
                <a:rPr lang="en-US" altLang="zh-CN" sz="1100" b="1">
                  <a:solidFill>
                    <a:srgbClr val="000000"/>
                  </a:solidFill>
                  <a:latin typeface="Calibri" panose="" pitchFamily="0" charset="0"/>
                  <a:ea typeface="Calibri" panose="" pitchFamily="0" charset="0"/>
                </a:rPr>
                <a:t>D</a:t>
              </a:r>
            </a:p>
          </xdr:txBody>
        </xdr:sp>
        <xdr:cxnSp macro="">
          <xdr:nvCxnSpPr>
            <xdr:cNvPr id="13" name="straightConnector1"/>
            <xdr:cNvSpPr/>
            <xdr:cNvCxnSpPr/>
          </xdr:nvCxnSpPr>
          <xdr:spPr>
            <a:xfrm>
              <a:off x="6781800" y="2095500"/>
              <a:ext cx="8896350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/>
              <a:headEnd type="none" w="med" len="med"/>
              <a:tailEnd type="triangle" w="med" len="med"/>
            </a:ln>
            <a:effectLst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dk1"/>
            </a:fontRef>
          </xdr:style>
        </xdr:cxnSp>
        <xdr:sp macro="" textlink="">
          <xdr:nvSpPr>
            <xdr:cNvPr id="14" name=" "/>
            <xdr:cNvSpPr txBox="1"/>
          </xdr:nvSpPr>
          <xdr:spPr>
            <a:xfrm>
              <a:off x="10896599" y="1905000"/>
              <a:ext cx="885825" cy="178435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ffffff"/>
              </a:solidFill>
              <a:prstDash val="solid"/>
              <a:round/>
            </a:ln>
            <a:effectLst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dk1"/>
            </a:fontRef>
          </xdr:style>
          <xdr:txBody>
            <a:bodyPr vertOverflow="clip" horzOverflow="clip" lIns="90000" tIns="0" rIns="90000" bIns="0" anchor="t"/>
            <a:lstStyle/>
            <a:p>
              <a:pPr algn="ctr"/>
              <a:r>
                <a:rPr lang="en-US" altLang="zh-CN" sz="1100" b="1">
                  <a:solidFill>
                    <a:srgbClr val="000000"/>
                  </a:solidFill>
                  <a:latin typeface="Calibri" panose="" pitchFamily="0" charset="0"/>
                  <a:ea typeface="Calibri" panose="" pitchFamily="0" charset="0"/>
                </a:rPr>
                <a:t>sleep</a:t>
              </a:r>
            </a:p>
          </xdr:txBody>
        </xdr:sp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95277</xdr:colOff>
      <xdr:row>0</xdr:row>
      <xdr:rowOff>37951</xdr:rowOff>
    </xdr:from>
    <xdr:to>
      <xdr:col>1</xdr:col>
      <xdr:colOff>1307860</xdr:colOff>
      <xdr:row>2</xdr:row>
      <xdr:rowOff>139154</xdr:rowOff>
    </xdr:to>
    <xdr:pic>
      <xdr:nvPicPr>
        <xdr:cNvPr id="2" name="图片 1" descr=" 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95885" y="39370"/>
          <a:ext cx="2098675" cy="48768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U113"/>
  <sheetViews>
    <sheetView tabSelected="1" workbookViewId="0" topLeftCell="A4">
      <selection activeCell="L112" sqref="L112"/>
    </sheetView>
  </sheetViews>
  <sheetFormatPr defaultRowHeight="15.0" defaultColWidth="9"/>
  <cols>
    <col min="1" max="1" customWidth="1" width="9.0" style="1"/>
    <col min="2" max="2" customWidth="1" width="27.125" style="1"/>
    <col min="3" max="3" customWidth="1" width="19.75" style="1"/>
    <col min="4" max="4" customWidth="1" width="23.125" style="1"/>
    <col min="5" max="5" customWidth="1" width="18.875" style="1"/>
    <col min="6" max="6" customWidth="1" width="18.0" style="1"/>
    <col min="7" max="7" customWidth="1" width="17.75" style="1"/>
    <col min="8" max="8" customWidth="1" width="20.0" style="1"/>
    <col min="9" max="9" customWidth="1" width="19.875" style="1"/>
    <col min="10" max="10" customWidth="1" width="19.875" style="1"/>
    <col min="11" max="11" hidden="1" width="19.875" style="1"/>
    <col min="12" max="12" customWidth="1" width="21.125" style="1"/>
    <col min="13" max="13" hidden="1" width="14.5" style="1"/>
    <col min="14" max="14" hidden="1" width="12.75" style="1"/>
    <col min="15" max="15" hidden="1" width="14.875" style="1"/>
    <col min="16" max="16" hidden="1" width="9.375" style="1"/>
    <col min="17" max="17" hidden="1" width="9.375" style="1"/>
    <col min="18" max="18" customWidth="1" width="9.0" style="1"/>
    <col min="19" max="19" customWidth="1" width="9.0" style="1"/>
    <col min="20" max="20" customWidth="1" width="9.0" style="1"/>
    <col min="21" max="21" customWidth="1" width="9.0" style="1"/>
    <col min="22" max="22" customWidth="1" width="9.0" style="1"/>
    <col min="23" max="23" customWidth="1" width="9.0" style="1"/>
    <col min="24" max="24" customWidth="1" width="9.0" style="1"/>
    <col min="25" max="25" customWidth="1" width="9.0" style="1"/>
    <col min="26" max="26" customWidth="1" width="9.0" style="1"/>
    <col min="27" max="27" customWidth="1" width="9.0" style="1"/>
    <col min="28" max="28" customWidth="1" width="9.0" style="1"/>
    <col min="29" max="29" customWidth="1" width="9.0" style="1"/>
    <col min="30" max="30" customWidth="1" width="9.0" style="1"/>
    <col min="31" max="31" customWidth="1" width="9.0" style="1"/>
    <col min="32" max="32" customWidth="1" width="9.0" style="1"/>
    <col min="33" max="33" customWidth="1" width="9.0" style="1"/>
    <col min="34" max="34" customWidth="1" width="9.0" style="1"/>
    <col min="35" max="35" customWidth="1" width="9.0" style="1"/>
    <col min="36" max="36" customWidth="1" width="9.0" style="1"/>
    <col min="37" max="37" customWidth="1" width="9.0" style="1"/>
    <col min="38" max="38" customWidth="1" width="9.0" style="1"/>
    <col min="39" max="39" customWidth="1" width="9.0" style="1"/>
    <col min="40" max="40" customWidth="1" width="9.0" style="1"/>
    <col min="41" max="41" customWidth="1" width="9.0" style="1"/>
    <col min="42" max="42" customWidth="1" width="9.0" style="1"/>
    <col min="43" max="43" customWidth="1" width="9.0" style="1"/>
    <col min="44" max="44" customWidth="1" width="9.0" style="1"/>
    <col min="45" max="45" customWidth="1" width="9.0" style="1"/>
    <col min="46" max="46" customWidth="1" width="9.0" style="1"/>
    <col min="47" max="47" customWidth="1" width="9.0" style="1"/>
    <col min="48" max="48" customWidth="1" width="9.0" style="1"/>
    <col min="49" max="49" customWidth="1" width="9.0" style="1"/>
    <col min="50" max="50" customWidth="1" width="9.0" style="1"/>
    <col min="51" max="51" customWidth="1" width="9.0" style="1"/>
    <col min="52" max="52" customWidth="1" width="9.0" style="1"/>
    <col min="53" max="53" customWidth="1" width="9.0" style="1"/>
    <col min="54" max="54" customWidth="1" width="9.0" style="1"/>
    <col min="55" max="55" customWidth="1" width="9.0" style="1"/>
    <col min="56" max="56" customWidth="1" width="9.0" style="1"/>
    <col min="57" max="57" customWidth="1" width="9.0" style="1"/>
    <col min="58" max="58" customWidth="1" width="9.0" style="1"/>
    <col min="59" max="59" customWidth="1" width="9.0" style="1"/>
    <col min="60" max="60" customWidth="1" width="9.0" style="1"/>
    <col min="61" max="61" customWidth="1" width="9.0" style="1"/>
    <col min="62" max="62" customWidth="1" width="9.0" style="1"/>
    <col min="63" max="63" customWidth="1" width="9.0" style="1"/>
    <col min="64" max="64" customWidth="1" width="9.0" style="1"/>
    <col min="65" max="65" customWidth="1" width="9.0" style="1"/>
    <col min="66" max="66" customWidth="1" width="9.0" style="1"/>
    <col min="67" max="67" customWidth="1" width="9.0" style="1"/>
    <col min="68" max="68" customWidth="1" width="9.0" style="1"/>
    <col min="69" max="69" customWidth="1" width="9.0" style="1"/>
    <col min="70" max="70" customWidth="1" width="9.0" style="1"/>
    <col min="71" max="71" customWidth="1" width="9.0" style="1"/>
    <col min="72" max="72" customWidth="1" width="9.0" style="1"/>
    <col min="73" max="73" customWidth="1" width="9.0" style="1"/>
    <col min="74" max="74" customWidth="1" width="9.0" style="1"/>
    <col min="75" max="75" customWidth="1" width="9.0" style="1"/>
    <col min="76" max="76" customWidth="1" width="9.0" style="1"/>
    <col min="77" max="77" customWidth="1" width="9.0" style="1"/>
    <col min="78" max="78" customWidth="1" width="9.0" style="1"/>
    <col min="79" max="79" customWidth="1" width="9.0" style="1"/>
    <col min="80" max="80" customWidth="1" width="9.0" style="1"/>
    <col min="81" max="81" customWidth="1" width="9.0" style="1"/>
    <col min="82" max="82" customWidth="1" width="9.0" style="1"/>
    <col min="83" max="83" customWidth="1" width="9.0" style="1"/>
    <col min="84" max="84" customWidth="1" width="9.0" style="1"/>
    <col min="85" max="85" customWidth="1" width="9.0" style="1"/>
    <col min="86" max="86" customWidth="1" width="9.0" style="1"/>
    <col min="87" max="87" customWidth="1" width="9.0" style="1"/>
    <col min="88" max="88" customWidth="1" width="9.0" style="1"/>
    <col min="89" max="89" customWidth="1" width="9.0" style="1"/>
    <col min="90" max="90" customWidth="1" width="9.0" style="1"/>
    <col min="91" max="91" customWidth="1" width="9.0" style="1"/>
    <col min="92" max="92" customWidth="1" width="9.0" style="1"/>
    <col min="93" max="93" customWidth="1" width="9.0" style="1"/>
    <col min="94" max="94" customWidth="1" width="9.0" style="1"/>
    <col min="95" max="95" customWidth="1" width="9.0" style="1"/>
    <col min="96" max="96" customWidth="1" width="9.0" style="1"/>
    <col min="97" max="97" customWidth="1" width="9.0" style="1"/>
    <col min="98" max="98" customWidth="1" width="9.0" style="1"/>
    <col min="99" max="99" customWidth="1" width="9.0" style="1"/>
    <col min="100" max="100" customWidth="1" width="9.0" style="1"/>
    <col min="101" max="101" customWidth="1" width="9.0" style="1"/>
    <col min="102" max="102" customWidth="1" width="9.0" style="1"/>
    <col min="103" max="103" customWidth="1" width="9.0" style="1"/>
    <col min="104" max="104" customWidth="1" width="9.0" style="1"/>
    <col min="105" max="105" customWidth="1" width="9.0" style="1"/>
    <col min="106" max="106" customWidth="1" width="9.0" style="1"/>
    <col min="107" max="107" customWidth="1" width="9.0" style="1"/>
    <col min="108" max="108" customWidth="1" width="9.0" style="1"/>
    <col min="109" max="109" customWidth="1" width="9.0" style="1"/>
    <col min="110" max="110" customWidth="1" width="9.0" style="1"/>
    <col min="111" max="111" customWidth="1" width="9.0" style="1"/>
    <col min="112" max="112" customWidth="1" width="9.0" style="1"/>
    <col min="113" max="113" customWidth="1" width="9.0" style="1"/>
    <col min="114" max="114" customWidth="1" width="9.0" style="1"/>
    <col min="115" max="115" customWidth="1" width="9.0" style="1"/>
    <col min="116" max="116" customWidth="1" width="9.0" style="1"/>
    <col min="117" max="117" customWidth="1" width="9.0" style="1"/>
    <col min="118" max="118" customWidth="1" width="9.0" style="1"/>
    <col min="119" max="119" customWidth="1" width="9.0" style="1"/>
    <col min="120" max="120" customWidth="1" width="9.0" style="1"/>
    <col min="121" max="121" customWidth="1" width="9.0" style="1"/>
    <col min="122" max="122" customWidth="1" width="9.0" style="1"/>
    <col min="123" max="123" customWidth="1" width="9.0" style="1"/>
    <col min="124" max="124" customWidth="1" width="9.0" style="1"/>
    <col min="125" max="125" customWidth="1" width="9.0" style="1"/>
    <col min="126" max="126" customWidth="1" width="9.0" style="1"/>
    <col min="127" max="127" customWidth="1" width="9.0" style="1"/>
    <col min="128" max="128" customWidth="1" width="9.0" style="1"/>
    <col min="129" max="129" customWidth="1" width="9.0" style="1"/>
    <col min="130" max="130" customWidth="1" width="9.0" style="1"/>
    <col min="131" max="131" customWidth="1" width="9.0" style="1"/>
    <col min="132" max="132" customWidth="1" width="9.0" style="1"/>
    <col min="133" max="133" customWidth="1" width="9.0" style="1"/>
    <col min="134" max="134" customWidth="1" width="9.0" style="1"/>
    <col min="135" max="135" customWidth="1" width="9.0" style="1"/>
    <col min="136" max="136" customWidth="1" width="9.0" style="1"/>
    <col min="137" max="137" customWidth="1" width="9.0" style="1"/>
    <col min="138" max="138" customWidth="1" width="9.0" style="1"/>
    <col min="139" max="139" customWidth="1" width="9.0" style="1"/>
    <col min="140" max="140" customWidth="1" width="9.0" style="1"/>
    <col min="141" max="141" customWidth="1" width="9.0" style="1"/>
    <col min="142" max="142" customWidth="1" width="9.0" style="1"/>
    <col min="143" max="143" customWidth="1" width="9.0" style="1"/>
    <col min="144" max="144" customWidth="1" width="9.0" style="1"/>
    <col min="145" max="145" customWidth="1" width="9.0" style="1"/>
    <col min="146" max="146" customWidth="1" width="9.0" style="1"/>
    <col min="147" max="147" customWidth="1" width="9.0" style="1"/>
    <col min="148" max="148" customWidth="1" width="9.0" style="1"/>
    <col min="149" max="149" customWidth="1" width="9.0" style="1"/>
    <col min="150" max="150" customWidth="1" width="9.0" style="1"/>
    <col min="151" max="151" customWidth="1" width="9.0" style="1"/>
    <col min="152" max="152" customWidth="1" width="9.0" style="1"/>
    <col min="153" max="153" customWidth="1" width="9.0" style="1"/>
    <col min="154" max="154" customWidth="1" width="9.0" style="1"/>
    <col min="155" max="155" customWidth="1" width="9.0" style="1"/>
    <col min="156" max="156" customWidth="1" width="9.0" style="1"/>
    <col min="157" max="157" customWidth="1" width="9.0" style="1"/>
    <col min="158" max="158" customWidth="1" width="9.0" style="1"/>
    <col min="159" max="159" customWidth="1" width="9.0" style="1"/>
    <col min="160" max="160" customWidth="1" width="9.0" style="1"/>
    <col min="161" max="161" customWidth="1" width="9.0" style="1"/>
    <col min="162" max="162" customWidth="1" width="9.0" style="1"/>
    <col min="163" max="163" customWidth="1" width="9.0" style="1"/>
    <col min="164" max="164" customWidth="1" width="9.0" style="1"/>
    <col min="165" max="165" customWidth="1" width="9.0" style="1"/>
    <col min="166" max="166" customWidth="1" width="9.0" style="1"/>
    <col min="167" max="167" customWidth="1" width="9.0" style="1"/>
    <col min="168" max="168" customWidth="1" width="9.0" style="1"/>
    <col min="169" max="169" customWidth="1" width="9.0" style="1"/>
    <col min="170" max="170" customWidth="1" width="9.0" style="1"/>
    <col min="171" max="171" customWidth="1" width="9.0" style="1"/>
    <col min="172" max="172" customWidth="1" width="9.0" style="1"/>
    <col min="173" max="173" customWidth="1" width="9.0" style="1"/>
    <col min="174" max="174" customWidth="1" width="9.0" style="1"/>
    <col min="175" max="175" customWidth="1" width="9.0" style="1"/>
    <col min="176" max="176" customWidth="1" width="9.0" style="1"/>
    <col min="177" max="177" customWidth="1" width="9.0" style="1"/>
    <col min="178" max="178" customWidth="1" width="9.0" style="1"/>
    <col min="179" max="179" customWidth="1" width="9.0" style="1"/>
    <col min="180" max="180" customWidth="1" width="9.0" style="1"/>
    <col min="181" max="181" customWidth="1" width="9.0" style="1"/>
    <col min="182" max="182" customWidth="1" width="9.0" style="1"/>
    <col min="183" max="183" customWidth="1" width="9.0" style="1"/>
    <col min="184" max="184" customWidth="1" width="9.0" style="1"/>
    <col min="185" max="185" customWidth="1" width="9.0" style="1"/>
    <col min="186" max="186" customWidth="1" width="9.0" style="1"/>
    <col min="187" max="187" customWidth="1" width="9.0" style="1"/>
    <col min="188" max="188" customWidth="1" width="9.0" style="1"/>
    <col min="189" max="189" customWidth="1" width="9.0" style="1"/>
    <col min="190" max="190" customWidth="1" width="9.0" style="1"/>
    <col min="191" max="191" customWidth="1" width="9.0" style="1"/>
    <col min="192" max="192" customWidth="1" width="9.0" style="1"/>
    <col min="193" max="193" customWidth="1" width="9.0" style="1"/>
    <col min="194" max="194" customWidth="1" width="9.0" style="1"/>
    <col min="195" max="195" customWidth="1" width="9.0" style="1"/>
    <col min="196" max="196" customWidth="1" width="9.0" style="1"/>
    <col min="197" max="197" customWidth="1" width="9.0" style="1"/>
    <col min="198" max="198" customWidth="1" width="9.0" style="1"/>
    <col min="199" max="199" customWidth="1" width="9.0" style="1"/>
    <col min="200" max="200" customWidth="1" width="9.0" style="1"/>
    <col min="201" max="201" customWidth="1" width="9.0" style="1"/>
    <col min="202" max="202" customWidth="1" width="9.0" style="1"/>
    <col min="203" max="203" customWidth="1" width="9.0" style="1"/>
    <col min="204" max="204" customWidth="1" width="9.0" style="1"/>
    <col min="205" max="205" customWidth="1" width="9.0" style="1"/>
    <col min="206" max="206" customWidth="1" width="9.0" style="1"/>
    <col min="207" max="207" customWidth="1" width="9.0" style="1"/>
    <col min="208" max="208" customWidth="1" width="9.0" style="1"/>
    <col min="209" max="209" customWidth="1" width="9.0" style="1"/>
    <col min="210" max="210" customWidth="1" width="9.0" style="1"/>
    <col min="211" max="211" customWidth="1" width="9.0" style="1"/>
    <col min="212" max="212" customWidth="1" width="9.0" style="1"/>
    <col min="213" max="213" customWidth="1" width="9.0" style="1"/>
    <col min="214" max="214" customWidth="1" width="9.0" style="1"/>
    <col min="215" max="215" customWidth="1" width="9.0" style="1"/>
    <col min="216" max="216" customWidth="1" width="9.0" style="1"/>
    <col min="217" max="217" customWidth="1" width="9.0" style="1"/>
    <col min="218" max="218" customWidth="1" width="9.0" style="1"/>
    <col min="219" max="219" customWidth="1" width="9.0" style="1"/>
    <col min="220" max="220" customWidth="1" width="9.0" style="1"/>
    <col min="221" max="221" customWidth="1" width="9.0" style="1"/>
    <col min="222" max="222" customWidth="1" width="9.0" style="1"/>
    <col min="223" max="223" customWidth="1" width="9.0" style="1"/>
    <col min="224" max="224" customWidth="1" width="9.0" style="1"/>
    <col min="225" max="225" customWidth="1" width="9.0" style="1"/>
    <col min="226" max="226" customWidth="1" width="9.0" style="1"/>
    <col min="227" max="227" customWidth="1" width="9.0" style="1"/>
    <col min="228" max="228" customWidth="1" width="9.0" style="1"/>
    <col min="229" max="229" customWidth="1" width="9.0" style="1"/>
    <col min="230" max="230" customWidth="1" width="9.0" style="1"/>
    <col min="231" max="231" customWidth="1" width="9.0" style="1"/>
    <col min="232" max="232" customWidth="1" width="9.0" style="1"/>
    <col min="233" max="233" customWidth="1" width="9.0" style="1"/>
    <col min="234" max="234" customWidth="1" width="9.0" style="1"/>
    <col min="235" max="235" customWidth="1" width="9.0" style="1"/>
    <col min="236" max="236" customWidth="1" width="9.0" style="1"/>
    <col min="237" max="237" customWidth="1" width="9.0" style="1"/>
    <col min="238" max="238" customWidth="1" width="9.0" style="1"/>
    <col min="239" max="239" customWidth="1" width="9.0" style="1"/>
    <col min="240" max="240" customWidth="1" width="9.0" style="1"/>
    <col min="241" max="241" customWidth="1" width="9.0" style="1"/>
    <col min="242" max="242" customWidth="1" width="9.0" style="1"/>
    <col min="243" max="243" customWidth="1" width="9.0" style="1"/>
    <col min="244" max="244" customWidth="1" width="9.0" style="1"/>
    <col min="245" max="245" customWidth="1" width="9.0" style="1"/>
    <col min="246" max="246" customWidth="1" width="9.0" style="1"/>
    <col min="247" max="247" customWidth="1" width="9.0" style="1"/>
    <col min="248" max="248" customWidth="1" width="9.0" style="1"/>
    <col min="249" max="249" customWidth="1" width="9.0" style="1"/>
    <col min="250" max="250" customWidth="1" width="9.0" style="1"/>
    <col min="251" max="251" customWidth="1" width="9.0" style="1"/>
    <col min="252" max="252" customWidth="1" width="9.0" style="1"/>
    <col min="253" max="253" customWidth="1" width="9.0" style="1"/>
    <col min="254" max="254" customWidth="1" width="9.0" style="1"/>
    <col min="255" max="255" customWidth="1" width="9.0" style="1"/>
    <col min="256" max="256" customWidth="1" width="9.0" style="1"/>
    <col min="257" max="16384" width="9" style="0" hidden="0"/>
  </cols>
  <sheetData>
    <row r="1" spans="8:8" ht="15.0" customHeight="1">
      <c r="A1" s="2"/>
      <c r="B1" s="2"/>
      <c r="C1" s="3" t="s">
        <v>0</v>
      </c>
      <c r="D1" s="3"/>
      <c r="E1" s="3"/>
      <c r="F1" s="3"/>
      <c r="G1" s="3"/>
      <c r="H1" s="3"/>
      <c r="I1" s="3"/>
      <c r="J1" s="2"/>
      <c r="K1" s="2"/>
      <c r="L1" s="2"/>
    </row>
    <row r="2" spans="8:8">
      <c r="A2" s="2"/>
      <c r="B2" s="2"/>
      <c r="C2" s="3"/>
      <c r="D2" s="3"/>
      <c r="E2" s="3"/>
      <c r="F2" s="3"/>
      <c r="G2" s="3"/>
      <c r="H2" s="3"/>
      <c r="I2" s="3"/>
      <c r="J2" s="2"/>
      <c r="K2" s="2"/>
      <c r="L2" s="2"/>
    </row>
    <row r="3" spans="8:8">
      <c r="A3" s="2"/>
      <c r="B3" s="2"/>
      <c r="C3" s="3"/>
      <c r="D3" s="3"/>
      <c r="E3" s="3"/>
      <c r="F3" s="3"/>
      <c r="G3" s="3"/>
      <c r="H3" s="3"/>
      <c r="I3" s="3"/>
      <c r="J3" s="2"/>
      <c r="K3" s="2"/>
      <c r="L3" s="2"/>
    </row>
    <row r="4" spans="8:8">
      <c r="A4" s="2"/>
      <c r="B4" s="2"/>
      <c r="C4" s="3"/>
      <c r="D4" s="3"/>
      <c r="E4" s="3"/>
      <c r="F4" s="3"/>
      <c r="G4" s="3"/>
      <c r="H4" s="3"/>
      <c r="I4" s="3"/>
      <c r="J4" s="2"/>
      <c r="K4" s="2"/>
      <c r="L4" s="2"/>
    </row>
    <row r="5" spans="8:8">
      <c r="A5" s="2" t="s">
        <v>1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4"/>
    </row>
    <row r="6" spans="8:8">
      <c r="A6" s="5"/>
      <c r="B6" s="6" t="s">
        <v>2</v>
      </c>
      <c r="C6" s="7" t="s">
        <v>3</v>
      </c>
      <c r="D6" s="5"/>
      <c r="E6" s="5"/>
      <c r="F6" s="5"/>
      <c r="G6" s="5"/>
      <c r="H6" s="5"/>
      <c r="I6" s="5"/>
      <c r="J6" s="5"/>
      <c r="K6" s="5"/>
      <c r="L6" s="5"/>
    </row>
    <row r="7" spans="8:8">
      <c r="A7" s="5"/>
      <c r="B7" s="8" t="s">
        <v>4</v>
      </c>
      <c r="C7" s="9">
        <f>VLOOKUP(B7,M42:N59,2,0)</f>
        <v>1000.0</v>
      </c>
      <c r="D7" s="5"/>
      <c r="E7" s="5"/>
      <c r="F7" s="5"/>
      <c r="G7" s="5"/>
      <c r="H7" s="5"/>
      <c r="I7" s="5"/>
      <c r="J7" s="5"/>
      <c r="K7" s="5"/>
      <c r="L7" s="5"/>
    </row>
    <row r="8" spans="8:8">
      <c r="A8" s="5"/>
      <c r="B8" s="8"/>
      <c r="C8" s="9"/>
      <c r="D8" s="5"/>
      <c r="E8" s="5"/>
      <c r="F8" s="5"/>
      <c r="G8" s="5"/>
      <c r="H8" s="5"/>
      <c r="I8" s="5"/>
      <c r="J8" s="5"/>
      <c r="K8" s="5"/>
      <c r="L8" s="5"/>
    </row>
    <row r="9" spans="8:8">
      <c r="A9" s="5"/>
      <c r="B9" s="8"/>
      <c r="C9" s="9"/>
      <c r="D9" s="5"/>
      <c r="E9" s="5"/>
      <c r="F9" s="5"/>
      <c r="G9" s="5"/>
      <c r="H9" s="5"/>
      <c r="I9" s="5"/>
      <c r="J9" s="5"/>
      <c r="K9" s="5"/>
      <c r="L9" s="5"/>
    </row>
    <row r="10" spans="8:8">
      <c r="A10" s="5"/>
      <c r="B10" s="10" t="s">
        <v>5</v>
      </c>
      <c r="C10" s="10" t="s">
        <v>6</v>
      </c>
      <c r="D10" s="11" t="s">
        <v>7</v>
      </c>
      <c r="E10" s="5"/>
      <c r="F10" s="5"/>
      <c r="G10" s="5"/>
      <c r="H10" s="5"/>
      <c r="I10" s="5"/>
      <c r="J10" s="5"/>
      <c r="K10" s="5"/>
      <c r="L10" s="5"/>
      <c r="O10" s="12" t="s">
        <v>8</v>
      </c>
      <c r="P10" s="12">
        <v>1.0</v>
      </c>
    </row>
    <row r="11" spans="8:8" ht="30.0" customHeight="1">
      <c r="A11" s="5"/>
      <c r="B11" s="13" t="s">
        <v>9</v>
      </c>
      <c r="C11" s="14">
        <v>20.0</v>
      </c>
      <c r="D11" s="15" t="s">
        <v>10</v>
      </c>
      <c r="E11" s="5"/>
      <c r="F11" s="5"/>
      <c r="G11" s="5"/>
      <c r="H11" s="5"/>
      <c r="I11" s="5"/>
      <c r="J11" s="5"/>
      <c r="K11" s="5"/>
      <c r="L11" s="5"/>
      <c r="O11" s="12" t="s">
        <v>11</v>
      </c>
      <c r="P11" s="12">
        <f>P10*1000</f>
        <v>1000.0</v>
      </c>
    </row>
    <row r="12" spans="8:8">
      <c r="A12" s="5"/>
      <c r="B12" s="16"/>
      <c r="C12" s="17"/>
      <c r="D12" s="18"/>
      <c r="E12" s="5"/>
      <c r="F12" s="5"/>
      <c r="G12" s="5"/>
      <c r="H12" s="5"/>
      <c r="I12" s="5"/>
      <c r="J12" s="5"/>
      <c r="K12" s="5"/>
      <c r="L12" s="5"/>
      <c r="O12" s="12" t="s">
        <v>9</v>
      </c>
      <c r="P12" s="12">
        <f>P11*60</f>
        <v>60000.0</v>
      </c>
    </row>
    <row r="13" spans="8:8">
      <c r="A13" s="5"/>
      <c r="B13" s="5"/>
      <c r="C13" s="19" t="s">
        <v>12</v>
      </c>
      <c r="D13" s="19" t="s">
        <v>13</v>
      </c>
      <c r="E13" s="19" t="s">
        <v>14</v>
      </c>
      <c r="F13" s="19" t="s">
        <v>15</v>
      </c>
      <c r="G13" s="19" t="s">
        <v>16</v>
      </c>
      <c r="H13" s="19" t="s">
        <v>17</v>
      </c>
      <c r="I13" s="19" t="s">
        <v>18</v>
      </c>
      <c r="J13" s="19" t="s">
        <v>19</v>
      </c>
      <c r="K13" s="19" t="s">
        <v>20</v>
      </c>
      <c r="L13" s="19" t="s">
        <v>21</v>
      </c>
      <c r="O13" s="12" t="s">
        <v>22</v>
      </c>
      <c r="P13" s="12">
        <f>P12*60</f>
        <v>3600000.0</v>
      </c>
    </row>
    <row r="14" spans="8:8" ht="18.75">
      <c r="A14" s="20" t="s">
        <v>23</v>
      </c>
      <c r="B14" s="20" t="s">
        <v>24</v>
      </c>
      <c r="C14" s="21">
        <f t="array" ref="C14">VLOOKUP($B$7&amp;$D$11,IF({1,0},$A$42:$A$87&amp;$B$42:$B$87,$G$42:$G$87),2,0)</f>
        <v>8400.0</v>
      </c>
      <c r="D14" s="21">
        <f t="array" ref="D14">VLOOKUP($B$7&amp;$D$11,IF({1,0},$A$42:$A$87&amp;$B$42:$B$87,$H$42:$H$87),2,0)</f>
        <v>787.31488</v>
      </c>
      <c r="E14" s="21">
        <f t="shared" si="0" ref="E14:E19">VLOOKUP(B28,B27:R33,13,0)</f>
        <v>7367.8544</v>
      </c>
      <c r="F14" s="21">
        <f t="shared" si="1" ref="F14:F19">VLOOKUP(B28,B27:S33,14,0)</f>
        <v>880.58488</v>
      </c>
      <c r="G14" s="21">
        <f t="shared" si="2" ref="G14:G19">VLOOKUP(B28,B27:S33,15,0)</f>
        <v>4097.083</v>
      </c>
      <c r="H14" s="21">
        <f t="shared" si="3" ref="H14:H19">VLOOKUP(B28,B27:S33,16,0)</f>
        <v>757.170666666667</v>
      </c>
      <c r="I14" s="21">
        <f t="array" ref="I14">(C14+D14+E14+F14+G14+H14+J14+K14)/((VLOOKUP($B$7&amp;$D$11,IF({1,0},$A$42:$A$87&amp;$B$42:$B$87,$I$42:$I$87),2,0))+(((VLOOKUP($B$7&amp;$D$11,IF({1,0},$A$42:$A$87&amp;$B$42:$B$87,$C$42:$C$87),2,0)))+((VLOOKUP($B$7&amp;$D$11,IF({1,0},$A$42:$A$87&amp;$B$42:$B$87,$E$42:$E$87),2,0)))+(VLOOKUP(B28,$B$27:$F$33,2,0))+(VLOOKUP(B28,$B$27:$F$33,3,0))+(VLOOKUP(B28,$B$27:$F$33,4,0))+(VLOOKUP(B28,$B$27:$F$33,5,0))))</f>
        <v>0.018567656824729103</v>
      </c>
      <c r="J14" s="21">
        <f t="array" ref="J14">IF((AND(OR($B$7="LAQ4____LoRaWAN_Air_Quality_Sensor",$B$7="LSN50v2_D20____LoRaWAN_Waterproof__Outdoor_Temperature_Sensor",$B$7="LSN50v2_S31____LoRaWAN_Temperature___Humidity_Sensor",$B$7="LTC2_V1.0",$B$7="LHT65_LoRaWAN_Temperature___Humidity_Sensor"),OR($D$11="MOD=1",$D$11="WMOD=1",$D$11="EXT=1,WMOD=1",$D$11="EXT=4,WMOD=1",$D$11="EXT=5,WMOD=1",$D$11="EXT=6,WMOD=1",$D$11="EXT=8,WMOD=1",$D$11="EXT=9,WMOD=1",$D$11="EXT=1 with DS18B20,WMOD=1"))),VLOOKUP($B$7,$A$42:$L$82,12,0),0)</f>
        <v>0.0</v>
      </c>
      <c r="K14" s="21">
        <f>IF($B$7="LSN50_V2____Waterproof_Long_Range_Wireless_LoRa_Sensor_Node",VLOOKUP(B28,B27:S33,17,0),0)</f>
        <v>0.0</v>
      </c>
      <c r="L14" s="22">
        <f>$C$7/(I14*8760+($C$7*0.02))</f>
        <v>5.474871948379688</v>
      </c>
      <c r="O14" s="12" t="s">
        <v>25</v>
      </c>
      <c r="P14" s="12">
        <f>P13*24</f>
        <v>8.64E7</v>
      </c>
    </row>
    <row r="15" spans="8:8" ht="18.75">
      <c r="A15" s="5"/>
      <c r="B15" s="20" t="s">
        <v>26</v>
      </c>
      <c r="C15" s="21">
        <f t="array" ref="C15">VLOOKUP($B$7&amp;$D$11,IF({1,0},$A$42:$A$87&amp;$B$42:$B$87,$G$42:$G$87),2,0)</f>
        <v>8400.0</v>
      </c>
      <c r="D15" s="21">
        <f t="array" ref="D15">VLOOKUP($B$7&amp;$D$11,IF({1,0},$A$42:$A$87&amp;$B$42:$B$87,$H$42:$H$87),2,0)</f>
        <v>787.31488</v>
      </c>
      <c r="E15" s="21">
        <f t="shared" si="0"/>
        <v>13210.2528</v>
      </c>
      <c r="F15" s="21">
        <f t="shared" si="1"/>
        <v>950.0943</v>
      </c>
      <c r="G15" s="21">
        <f t="shared" si="2"/>
        <v>4097.083</v>
      </c>
      <c r="H15" s="21">
        <f t="shared" si="3"/>
        <v>757.170666666667</v>
      </c>
      <c r="I15" s="21">
        <f t="array" ref="I15">(C15+D15+E15+F15+G15+H15+J15+K15)/((VLOOKUP($B$7&amp;$D$11,IF({1,0},$A$42:$A$87&amp;$B$42:$B$87,$I$42:$I$87),2,0))+(((VLOOKUP($B$7&amp;$D$11,IF({1,0},$A$42:$A$87&amp;$B$42:$B$87,$C$42:$C$87),2,0)))+((VLOOKUP($B$7&amp;$D$11,IF({1,0},$A$42:$A$87&amp;$B$42:$B$87,$E$42:$E$87),2,0)))+(VLOOKUP(B29,$B$27:$F$33,2,0))+(VLOOKUP(B29,$B$27:$F$33,3,0))+(VLOOKUP(B29,$B$27:$F$33,4,0))+(VLOOKUP(B29,$B$27:$F$33,5,0))))</f>
        <v>0.0234912015155516</v>
      </c>
      <c r="J15" s="21">
        <f t="array" ref="J15">IF((AND(OR($B$7="LAQ4____LoRaWAN_Air_Quality_Sensor",$B$7="LSN50v2_D20____LoRaWAN_Waterproof__Outdoor_Temperature_Sensor",$B$7="LSN50v2_S31____LoRaWAN_Temperature___Humidity_Sensor",$B$7="LTC2_V1.0",$B$7="LHT65_LoRaWAN_Temperature___Humidity_Sensor"),OR($D$11="MOD=1",$D$11="WMOD=1",$D$11="EXT=1,WMOD=1",$D$11="EXT=4,WMOD=1",$D$11="EXT=5,WMOD=1",$D$11="EXT=6,WMOD=1",$D$11="EXT=8,WMOD=1",$D$11="EXT=9,WMOD=1",$D$11="EXT=1 with DS18B20,WMOD=1"))),VLOOKUP($B$7,$A$42:$L$82,12,0),0)</f>
        <v>0.0</v>
      </c>
      <c r="K15" s="21">
        <f t="array" ref="K15">IF($B$7="LSN50_V2____Waterproof_Long_Range_Wireless_LoRa_Sensor_Node",VLOOKUP(B29,B28:S34,17,0),0)</f>
        <v>0.0</v>
      </c>
      <c r="L15" s="22">
        <f t="shared" si="4" ref="L15:L19">$C$7/(I15*8760+($C$7*0.02))</f>
        <v>4.4290328809256</v>
      </c>
      <c r="O15" s="12" t="s">
        <v>27</v>
      </c>
      <c r="P15" s="12">
        <f>P16/12</f>
        <v>2.6298E9</v>
      </c>
    </row>
    <row r="16" spans="8:8" ht="18.75">
      <c r="A16" s="5"/>
      <c r="B16" s="20" t="s">
        <v>28</v>
      </c>
      <c r="C16" s="21">
        <f t="array" ref="C16">VLOOKUP($B$7&amp;$D$11,IF({1,0},$A$42:$A$87&amp;$B$42:$B$87,$G$42:$G$87),2,0)</f>
        <v>8400.0</v>
      </c>
      <c r="D16" s="21">
        <f t="array" ref="D16">VLOOKUP($B$7&amp;$D$11,IF({1,0},$A$42:$A$87&amp;$B$42:$B$87,$H$42:$H$87),2,0)</f>
        <v>787.31488</v>
      </c>
      <c r="E16" s="21">
        <f t="shared" si="0"/>
        <v>23652.608</v>
      </c>
      <c r="F16" s="21">
        <f t="shared" si="1"/>
        <v>1068.0336</v>
      </c>
      <c r="G16" s="21">
        <f t="shared" si="2"/>
        <v>4097.083</v>
      </c>
      <c r="H16" s="21">
        <f t="shared" si="3"/>
        <v>757.170666666667</v>
      </c>
      <c r="I16" s="21">
        <f t="array" ref="I16">(C16+D16+E16+F16+G16+H16+J16+K16)/((VLOOKUP($B$7&amp;$D$11,IF({1,0},$A$42:$A$87&amp;$B$42:$B$87,$I$42:$I$87),2,0))+(((VLOOKUP($B$7&amp;$D$11,IF({1,0},$A$42:$A$87&amp;$B$42:$B$87,$C$42:$C$87),2,0)))+((VLOOKUP($B$7&amp;$D$11,IF({1,0},$A$42:$A$87&amp;$B$42:$B$87,$E$42:$E$87),2,0)))+(VLOOKUP(B30,$B$27:$F$33,2,0))+(VLOOKUP(B30,$B$27:$F$33,3,0))+(VLOOKUP(B30,$B$27:$F$33,4,0))+(VLOOKUP(B30,$B$27:$F$33,5,0))))</f>
        <v>0.032284892220473135</v>
      </c>
      <c r="J16" s="21">
        <f t="array" ref="J16">IF((AND(OR($B$7="LAQ4____LoRaWAN_Air_Quality_Sensor",$B$7="LSN50v2_D20____LoRaWAN_Waterproof__Outdoor_Temperature_Sensor",$B$7="LSN50v2_S31____LoRaWAN_Temperature___Humidity_Sensor",$B$7="LTC2_V1.0",$B$7="LHT65_LoRaWAN_Temperature___Humidity_Sensor"),OR($D$11="MOD=1",$D$11="WMOD=1",$D$11="EXT=1,WMOD=1",$D$11="EXT=4,WMOD=1",$D$11="EXT=5,WMOD=1",$D$11="EXT=6,WMOD=1",$D$11="EXT=8,WMOD=1",$D$11="EXT=9,WMOD=1",$D$11="EXT=1 with DS18B20,WMOD=1"))),VLOOKUP($B$7,$A$42:$L$82,12,0),0)</f>
        <v>0.0</v>
      </c>
      <c r="K16" s="21">
        <f t="array" ref="K16">IF($B$7="LSN50_V2____Waterproof_Long_Range_Wireless_LoRa_Sensor_Node",VLOOKUP(B30,B29:S35,17,0),0)</f>
        <v>0.0</v>
      </c>
      <c r="L16" s="22">
        <f t="shared" si="4"/>
        <v>3.3023391646926945</v>
      </c>
      <c r="O16" s="12" t="s">
        <v>29</v>
      </c>
      <c r="P16" s="12">
        <f>P14*365.25</f>
        <v>3.15576E10</v>
      </c>
    </row>
    <row r="17" spans="8:8" ht="18.75">
      <c r="A17" s="5"/>
      <c r="B17" s="20" t="s">
        <v>30</v>
      </c>
      <c r="C17" s="21">
        <f t="array" ref="C17">VLOOKUP($B$7&amp;$D$11,IF({1,0},$A$42:$A$87&amp;$B$42:$B$87,$G$42:$G$87),2,0)</f>
        <v>8400.0</v>
      </c>
      <c r="D17" s="21">
        <f t="array" ref="D17">VLOOKUP($B$7&amp;$D$11,IF({1,0},$A$42:$A$87&amp;$B$42:$B$87,$H$42:$H$87),2,0)</f>
        <v>787.31488</v>
      </c>
      <c r="E17" s="21">
        <f t="shared" si="0"/>
        <v>42244.125</v>
      </c>
      <c r="F17" s="21">
        <f t="shared" si="1"/>
        <v>1461.4876</v>
      </c>
      <c r="G17" s="21">
        <f t="shared" si="2"/>
        <v>4097.083</v>
      </c>
      <c r="H17" s="21">
        <f t="shared" si="3"/>
        <v>757.170666666667</v>
      </c>
      <c r="I17" s="21">
        <f t="array" ref="I17">(C17+D17+E17+F17+G17+H17+J17+K17)/((VLOOKUP($B$7&amp;$D$11,IF({1,0},$A$42:$A$87&amp;$B$42:$B$87,$I$42:$I$87),2,0))+(((VLOOKUP($B$7&amp;$D$11,IF({1,0},$A$42:$A$87&amp;$B$42:$B$87,$C$42:$C$87),2,0)))+((VLOOKUP($B$7&amp;$D$11,IF({1,0},$A$42:$A$87&amp;$B$42:$B$87,$E$42:$E$87),2,0)))+(VLOOKUP(B31,$B$27:$F$33,2,0))+(VLOOKUP(B31,$B$27:$F$33,3,0))+(VLOOKUP(B31,$B$27:$F$33,4,0))+(VLOOKUP(B31,$B$27:$F$33,5,0))))</f>
        <v>0.04808950926875117</v>
      </c>
      <c r="J17" s="21">
        <f t="array" ref="J17">IF((AND(OR($B$7="LAQ4____LoRaWAN_Air_Quality_Sensor",$B$7="LSN50v2_D20____LoRaWAN_Waterproof__Outdoor_Temperature_Sensor",$B$7="LSN50v2_S31____LoRaWAN_Temperature___Humidity_Sensor",$B$7="LTC2_V1.0",$B$7="LHT65_LoRaWAN_Temperature___Humidity_Sensor"),OR($D$11="MOD=1",$D$11="WMOD=1",$D$11="EXT=1,WMOD=1",$D$11="EXT=4,WMOD=1",$D$11="EXT=5,WMOD=1",$D$11="EXT=6,WMOD=1",$D$11="EXT=8,WMOD=1",$D$11="EXT=9,WMOD=1",$D$11="EXT=1 with DS18B20,WMOD=1"))),VLOOKUP($B$7,$A$42:$L$82,12,0),0)</f>
        <v>0.0</v>
      </c>
      <c r="K17" s="21">
        <f t="array" ref="K17">IF($B$7="LSN50_V2____Waterproof_Long_Range_Wireless_LoRa_Sensor_Node",VLOOKUP(B31,B30:S36,17,0),0)</f>
        <v>0.0</v>
      </c>
      <c r="L17" s="22">
        <f t="shared" si="4"/>
        <v>2.2662165294968424</v>
      </c>
    </row>
    <row r="18" spans="8:8" ht="18.75">
      <c r="A18" s="5"/>
      <c r="B18" s="20" t="s">
        <v>31</v>
      </c>
      <c r="C18" s="21">
        <f t="array" ref="C18">VLOOKUP($B$7&amp;$D$11,IF({1,0},$A$42:$A$87&amp;$B$42:$B$87,$G$42:$G$87),2,0)</f>
        <v>8400.0</v>
      </c>
      <c r="D18" s="21">
        <f t="array" ref="D18">VLOOKUP($B$7&amp;$D$11,IF({1,0},$A$42:$A$87&amp;$B$42:$B$87,$H$42:$H$87),2,0)</f>
        <v>787.31488</v>
      </c>
      <c r="E18" s="21">
        <f t="shared" si="0"/>
        <v>94013.4</v>
      </c>
      <c r="F18" s="21">
        <f t="shared" si="1"/>
        <v>2230.4828</v>
      </c>
      <c r="G18" s="21">
        <f t="shared" si="2"/>
        <v>4097.083</v>
      </c>
      <c r="H18" s="21">
        <f t="shared" si="3"/>
        <v>757.170666666667</v>
      </c>
      <c r="I18" s="21">
        <f t="array" ref="I18">(C18+D18+E18+F18+G18+H18+J18+K18)/((VLOOKUP($B$7&amp;$D$11,IF({1,0},$A$42:$A$87&amp;$B$42:$B$87,$I$42:$I$87),2,0))+(((VLOOKUP($B$7&amp;$D$11,IF({1,0},$A$42:$A$87&amp;$B$42:$B$87,$C$42:$C$87),2,0)))+((VLOOKUP($B$7&amp;$D$11,IF({1,0},$A$42:$A$87&amp;$B$42:$B$87,$E$42:$E$87),2,0)))+(VLOOKUP(B32,$B$27:$F$33,2,0))+(VLOOKUP(B32,$B$27:$F$33,3,0))+(VLOOKUP(B32,$B$27:$F$33,4,0))+(VLOOKUP(B32,$B$27:$F$33,5,0))))</f>
        <v>0.09180371171219166</v>
      </c>
      <c r="J18" s="21">
        <f t="array" ref="J18">IF((AND(OR($B$7="LAQ4____LoRaWAN_Air_Quality_Sensor",$B$7="LSN50v2_D20____LoRaWAN_Waterproof__Outdoor_Temperature_Sensor",$B$7="LSN50v2_S31____LoRaWAN_Temperature___Humidity_Sensor",$B$7="LTC2_V1.0",$B$7="LHT65_LoRaWAN_Temperature___Humidity_Sensor"),OR($D$11="MOD=1",$D$11="WMOD=1",$D$11="EXT=1,WMOD=1",$D$11="EXT=4,WMOD=1",$D$11="EXT=5,WMOD=1",$D$11="EXT=6,WMOD=1",$D$11="EXT=8,WMOD=1",$D$11="EXT=9,WMOD=1",$D$11="EXT=1 with DS18B20,WMOD=1"))),VLOOKUP($B$7,$A$42:$L$82,12,0),0)</f>
        <v>0.0</v>
      </c>
      <c r="K18" s="21">
        <f t="array" ref="K18">IF($B$7="LSN50_V2____Waterproof_Long_Range_Wireless_LoRa_Sensor_Node",VLOOKUP(B32,B31:S37,17,0),0)</f>
        <v>0.0</v>
      </c>
      <c r="L18" s="22">
        <f t="shared" si="4"/>
        <v>1.213296985730197</v>
      </c>
    </row>
    <row r="19" spans="8:8" ht="18.75">
      <c r="A19" s="5"/>
      <c r="B19" s="20" t="s">
        <v>32</v>
      </c>
      <c r="C19" s="21">
        <f t="array" ref="C19">VLOOKUP($B$7&amp;$D$11,IF({1,0},$A$42:$A$87&amp;$B$42:$B$87,$G$42:$G$87),2,0)</f>
        <v>8400.0</v>
      </c>
      <c r="D19" s="21">
        <f t="array" ref="D19">VLOOKUP($B$7&amp;$D$11,IF({1,0},$A$42:$A$87&amp;$B$42:$B$87,$H$42:$H$87),2,0)</f>
        <v>787.31488</v>
      </c>
      <c r="E19" s="21">
        <f t="shared" si="0"/>
        <v>168081.0</v>
      </c>
      <c r="F19" s="21">
        <f t="shared" si="1"/>
        <v>4097.083</v>
      </c>
      <c r="G19" s="21">
        <f t="shared" si="2"/>
        <v>4097.083</v>
      </c>
      <c r="H19" s="21">
        <f t="shared" si="3"/>
        <v>757.170666666667</v>
      </c>
      <c r="I19" s="21">
        <f t="array" ref="I19">(C19+D19+E19+F19+G19+H19+J19+K19)/((VLOOKUP($B$7&amp;$D$11,IF({1,0},$A$42:$A$87&amp;$B$42:$B$87,$I$42:$I$87),2,0))+(((VLOOKUP($B$7&amp;$D$11,IF({1,0},$A$42:$A$87&amp;$B$42:$B$87,$C$42:$C$87),2,0)))+((VLOOKUP($B$7&amp;$D$11,IF({1,0},$A$42:$A$87&amp;$B$42:$B$87,$E$42:$E$87),2,0)))+(VLOOKUP(B33,$B$27:$F$33,2,0))+(VLOOKUP(B33,$B$27:$F$33,3,0))+(VLOOKUP(B33,$B$27:$F$33,4,0))+(VLOOKUP(B33,$B$27:$F$33,5,0))))</f>
        <v>0.154916199801398</v>
      </c>
      <c r="J19" s="21">
        <f t="array" ref="J19">IF((AND(OR($B$7="LAQ4____LoRaWAN_Air_Quality_Sensor",$B$7="LSN50v2_D20____LoRaWAN_Waterproof__Outdoor_Temperature_Sensor",$B$7="LSN50v2_S31____LoRaWAN_Temperature___Humidity_Sensor",$B$7="LTC2_V1.0",$B$7="LHT65_LoRaWAN_Temperature___Humidity_Sensor"),OR($D$11="MOD=1",$D$11="WMOD=1",$D$11="EXT=1,WMOD=1",$D$11="EXT=4,WMOD=1",$D$11="EXT=5,WMOD=1",$D$11="EXT=6,WMOD=1",$D$11="EXT=8,WMOD=1",$D$11="EXT=9,WMOD=1",$D$11="EXT=1 with DS18B20,WMOD=1"))),VLOOKUP($B$7,$A$42:$L$82,12,0),0)</f>
        <v>0.0</v>
      </c>
      <c r="K19" s="21">
        <f t="array" ref="K19">IF($B$7="LSN50_V2____Waterproof_Long_Range_Wireless_LoRa_Sensor_Node",VLOOKUP(B33,B32:S38,17,0),0)</f>
        <v>0.0</v>
      </c>
      <c r="L19" s="22">
        <f t="shared" si="4"/>
        <v>0.7261816537241952</v>
      </c>
    </row>
    <row r="20" spans="8:8" ht="18.75">
      <c r="A20" s="5"/>
      <c r="B20" s="5"/>
      <c r="C20" s="23"/>
      <c r="D20" s="23"/>
      <c r="E20" s="5"/>
      <c r="F20" s="5"/>
      <c r="G20" s="5"/>
      <c r="H20" s="5"/>
      <c r="I20" s="5"/>
      <c r="J20" s="24"/>
      <c r="K20" s="24"/>
      <c r="L20" s="25"/>
      <c r="O20" s="1" t="s">
        <v>33</v>
      </c>
      <c r="P20" s="1">
        <v>8.0</v>
      </c>
    </row>
    <row r="21" spans="8:8" ht="18.75">
      <c r="A21" s="26" t="s">
        <v>34</v>
      </c>
      <c r="B21" s="27" t="s">
        <v>35</v>
      </c>
      <c r="C21" s="28">
        <f t="array" ref="C21">VLOOKUP($B$7&amp;$D$11,IF({1,0},$A$42:$A$87&amp;$B$42:$B$87,$G$42:$G$87),2,0)</f>
        <v>8400.0</v>
      </c>
      <c r="D21" s="28">
        <f t="array" ref="D21">VLOOKUP($B$7&amp;$D$11,IF({1,0},$A$42:$A$87&amp;$B$42:$B$87,$H$42:$H$87),2,0)</f>
        <v>787.31488</v>
      </c>
      <c r="E21" s="29">
        <f>VLOOKUP(B35,B35:S38,13,0)</f>
        <v>8441.476</v>
      </c>
      <c r="F21" s="29">
        <f>VLOOKUP(B35,B35:S38,14,0)</f>
        <v>681.61989</v>
      </c>
      <c r="G21" s="29">
        <f>VLOOKUP(B35,B35:S38,15,0)</f>
        <v>1587.135</v>
      </c>
      <c r="H21" s="29">
        <f>VLOOKUP(B35,B35:S38,16,0)</f>
        <v>757.1706666666666</v>
      </c>
      <c r="I21" s="29">
        <f t="array" ref="I21">(C21+D21+E21+F21+G21+H21+J21+K21)/((VLOOKUP($B$7&amp;$D$11,IF({1,0},$A$42:$A$87&amp;$B$42:$B$87,$I$42:$I$87),2,0))+(((VLOOKUP($B$7&amp;$D$11,IF({1,0},$A$42:$A$87&amp;$B$42:$B$87,$C$42:$C$87),2,0)))+((VLOOKUP($B$7&amp;$D$11,IF({1,0},$A$42:$A$87&amp;$B$42:$B$87,$E$42:$E$87),2,0)))+(VLOOKUP(B35,$B$35:$F$38,2,0))+(VLOOKUP(B35,$B$35:$F$38,3,0))+(VLOOKUP(B35,$B$35:$F$38,4,0))+(VLOOKUP(B35,$B$35:$F$38,5,0))))</f>
        <v>0.017207459947986743</v>
      </c>
      <c r="J21" s="28">
        <f>IF((AND(OR($B$7="LAQ4____LoRaWAN_Air_Quality_Sensor",$B$7="LSN50v2_D20____LoRaWAN_Waterproof__Outdoor_Temperature_Sensor",$B$7="LSN50v2_S31____LoRaWAN_Temperature___Humidity_Sensor",$B$7="LTC2_V1.0",$B$7="LHT65_LoRaWAN_Temperature___Humidity_Sensor"),OR($D$11="MOD=1",$D$11="WMOD=1",$D$11="EXT=1,WMOD=1",$D$11="EXT=4,WMOD=1",$D$11="EXT=5,WMOD=1",$D$11="EXT=6,WMOD=1",$D$11="EXT=8,WMOD=1",$D$11="EXT=9,WMOD=1",$D$11="EXT=1 with DS18B20,WMOD=1"))),VLOOKUP($B$7,$A$42:$L$82,12,0),0)</f>
        <v>0.0</v>
      </c>
      <c r="K21" s="28">
        <f>IF($B$7="LSN50_V2____Waterproof_Long_Range_Wireless_LoRa_Sensor_Node",VLOOKUP(B28,B27:S33,17,0),0)</f>
        <v>0.0</v>
      </c>
      <c r="L21" s="30">
        <f>$C$7/(I21*8760+($C$7*0.02))</f>
        <v>5.856949314320607</v>
      </c>
      <c r="M21" s="1" t="s">
        <v>36</v>
      </c>
    </row>
    <row r="22" spans="8:8" ht="18.75">
      <c r="A22" s="5"/>
      <c r="B22" s="27" t="s">
        <v>37</v>
      </c>
      <c r="C22" s="28">
        <f t="array" ref="C22">VLOOKUP($B$7&amp;$D$11,IF({1,0},$A$42:$A$87&amp;$B$42:$B$87,$G$42:$G$87),2,0)</f>
        <v>8400.0</v>
      </c>
      <c r="D22" s="28">
        <f t="array" ref="D22">VLOOKUP($B$7&amp;$D$11,IF({1,0},$A$42:$A$87&amp;$B$42:$B$87,$H$42:$H$87),2,0)</f>
        <v>787.31488</v>
      </c>
      <c r="E22" s="29">
        <f>VLOOKUP(B36,B36:S39,13,0)</f>
        <v>15170.785</v>
      </c>
      <c r="F22" s="29">
        <f>VLOOKUP(B36,B36:S39,14,0)</f>
        <v>913.6490999999999</v>
      </c>
      <c r="G22" s="29">
        <f>VLOOKUP(B36,B36:S39,15,0)</f>
        <v>1587.135</v>
      </c>
      <c r="H22" s="29">
        <f>VLOOKUP(B36,B36:S39,16,0)</f>
        <v>757.1706666666666</v>
      </c>
      <c r="I22" s="29">
        <f t="array" ref="I22">(C22+D22+E22+F22+G22+H22+J22+K22)/((VLOOKUP($B$7&amp;$D$11,IF({1,0},$A$42:$A$87&amp;$B$42:$B$87,$I$42:$I$87),2,0))+(((VLOOKUP($B$7&amp;$D$11,IF({1,0},$A$42:$A$87&amp;$B$42:$B$87,$C$42:$C$87),2,0)))+((VLOOKUP($B$7&amp;$D$11,IF({1,0},$A$42:$A$87&amp;$B$42:$B$87,$E$42:$E$87),2,0)))+(VLOOKUP(B36,$B$35:$F$38,2,0))+(VLOOKUP(B36,$B$35:$F$38,3,0))+(VLOOKUP(B36,$B$35:$F$38,4,0))+(VLOOKUP(B36,$B$35:$F$38,5,0))))</f>
        <v>0.023005940284863448</v>
      </c>
      <c r="J22" s="28">
        <f>IF((AND(OR($B$7="LAQ4____LoRaWAN_Air_Quality_Sensor",$B$7="LSN50v2_D20____LoRaWAN_Waterproof__Outdoor_Temperature_Sensor",$B$7="LSN50v2_S31____LoRaWAN_Temperature___Humidity_Sensor",$B$7="LTC2_V1.0",$B$7="LHT65_LoRaWAN_Temperature___Humidity_Sensor"),OR($D$11="MOD=1",$D$11="WMOD=1",$D$11="EXT=1,WMOD=1",$D$11="EXT=4,WMOD=1",$D$11="EXT=5,WMOD=1",$D$11="EXT=6,WMOD=1",$D$11="EXT=8,WMOD=1",$D$11="EXT=9,WMOD=1",$D$11="EXT=1 with DS18B20,WMOD=1"))),VLOOKUP($B$7,$A$42:$L$82,12,0),0)</f>
        <v>0.0</v>
      </c>
      <c r="K22" s="28">
        <f>IF($B$7="LSN50_V2____Waterproof_Long_Range_Wireless_LoRa_Sensor_Node",VLOOKUP(B29,B28:S34,17,0),0)</f>
        <v>0.0</v>
      </c>
      <c r="L22" s="30">
        <f>$C$7/(I22*8760+($C$7*0.02))</f>
        <v>4.514019796026836</v>
      </c>
    </row>
    <row r="23" spans="8:8" ht="18.75">
      <c r="A23" s="5"/>
      <c r="B23" s="27" t="s">
        <v>38</v>
      </c>
      <c r="C23" s="28">
        <f t="array" ref="C23">VLOOKUP($B$7&amp;$D$11,IF({1,0},$A$42:$A$87&amp;$B$42:$B$87,$G$42:$G$87),2,0)</f>
        <v>8400.0</v>
      </c>
      <c r="D23" s="28">
        <f t="array" ref="D23">VLOOKUP($B$7&amp;$D$11,IF({1,0},$A$42:$A$87&amp;$B$42:$B$87,$H$42:$H$87),2,0)</f>
        <v>787.31488</v>
      </c>
      <c r="E23" s="29">
        <f>VLOOKUP(B37,B37:S40,13,0)</f>
        <v>27254.382999999998</v>
      </c>
      <c r="F23" s="29">
        <f>VLOOKUP(B37,B37:S40,14,0)</f>
        <v>941.388</v>
      </c>
      <c r="G23" s="29">
        <f>VLOOKUP(B37,B37:S40,15,0)</f>
        <v>1587.135</v>
      </c>
      <c r="H23" s="29">
        <f>VLOOKUP(B37,B37:S40,16,0)</f>
        <v>757.1706666666666</v>
      </c>
      <c r="I23" s="29">
        <f t="array" ref="I23">(C23+D23+E23+F23+G23+H23+J23+K23)/((VLOOKUP($B$7&amp;$D$11,IF({1,0},$A$42:$A$87&amp;$B$42:$B$87,$I$42:$I$87),2,0))+(((VLOOKUP($B$7&amp;$D$11,IF({1,0},$A$42:$A$87&amp;$B$42:$B$87,$C$42:$C$87),2,0)))+((VLOOKUP($B$7&amp;$D$11,IF({1,0},$A$42:$A$87&amp;$B$42:$B$87,$E$42:$E$87),2,0)))+(VLOOKUP(B37,$B$35:$F$38,2,0))+(VLOOKUP(B37,$B$35:$F$38,3,0))+(VLOOKUP(B37,$B$35:$F$38,4,0))+(VLOOKUP(B37,$B$35:$F$38,5,0))))</f>
        <v>0.03309286732051515</v>
      </c>
      <c r="J23" s="28">
        <f>IF((AND(OR($B$7="LAQ4____LoRaWAN_Air_Quality_Sensor",$B$7="LSN50v2_D20____LoRaWAN_Waterproof__Outdoor_Temperature_Sensor",$B$7="LSN50v2_S31____LoRaWAN_Temperature___Humidity_Sensor",$B$7="LTC2_V1.0",$B$7="LHT65_LoRaWAN_Temperature___Humidity_Sensor"),OR($D$11="MOD=1",$D$11="WMOD=1",$D$11="EXT=1,WMOD=1",$D$11="EXT=4,WMOD=1",$D$11="EXT=5,WMOD=1",$D$11="EXT=6,WMOD=1",$D$11="EXT=8,WMOD=1",$D$11="EXT=9,WMOD=1",$D$11="EXT=1 with DS18B20,WMOD=1"))),VLOOKUP($B$7,$A$42:$L$82,12,0),0)</f>
        <v>0.0</v>
      </c>
      <c r="K23" s="28">
        <f>IF($B$7="LSN50_V2____Waterproof_Long_Range_Wireless_LoRa_Sensor_Node",VLOOKUP(B30,B29:S35,17,0),0)</f>
        <v>0.0</v>
      </c>
      <c r="L23" s="30">
        <f>$C$7/(I23*8760+($C$7*0.02))</f>
        <v>3.226914868476365</v>
      </c>
    </row>
    <row r="24" spans="8:8" ht="18.75">
      <c r="A24" s="5"/>
      <c r="B24" s="27" t="s">
        <v>39</v>
      </c>
      <c r="C24" s="28">
        <f t="array" ref="C24">VLOOKUP($B$7&amp;$D$11,IF({1,0},$A$42:$A$87&amp;$B$42:$B$87,$G$42:$G$87),2,0)</f>
        <v>8400.0</v>
      </c>
      <c r="D24" s="28">
        <f t="array" ref="D24">VLOOKUP($B$7&amp;$D$11,IF({1,0},$A$42:$A$87&amp;$B$42:$B$87,$H$42:$H$87),2,0)</f>
        <v>787.31488</v>
      </c>
      <c r="E24" s="29">
        <f>VLOOKUP(B38,B38:S41,13,0)</f>
        <v>48745.32</v>
      </c>
      <c r="F24" s="29">
        <f>VLOOKUP(B38,B38:S41,14,0)</f>
        <v>995.2243000000001</v>
      </c>
      <c r="G24" s="29">
        <f>VLOOKUP(B38,B38:S41,15,0)</f>
        <v>1587.135</v>
      </c>
      <c r="H24" s="29">
        <f>VLOOKUP(B38,B38:S41,16,0)</f>
        <v>757.1706666666666</v>
      </c>
      <c r="I24" s="29">
        <f t="array" ref="I24">(C24+D24+E24+F24+G24+H24+J24+K24)/((VLOOKUP($B$7&amp;$D$11,IF({1,0},$A$42:$A$87&amp;$B$42:$B$87,$I$42:$I$87),2,0))+(((VLOOKUP($B$7&amp;$D$11,IF({1,0},$A$42:$A$87&amp;$B$42:$B$87,$C$42:$C$87),2,0)))+((VLOOKUP($B$7&amp;$D$11,IF({1,0},$A$42:$A$87&amp;$B$42:$B$87,$E$42:$E$87),2,0)))+(VLOOKUP(B38,$B$35:$F$38,2,0))+(VLOOKUP(B38,$B$35:$F$38,3,0))+(VLOOKUP(B38,$B$35:$F$38,4,0))+(VLOOKUP(B38,$B$35:$F$38,5,0))))</f>
        <v>0.051032452266867444</v>
      </c>
      <c r="J24" s="28">
        <f>IF((AND(OR($B$7="LAQ4____LoRaWAN_Air_Quality_Sensor",$B$7="LSN50v2_D20____LoRaWAN_Waterproof__Outdoor_Temperature_Sensor",$B$7="LSN50v2_S31____LoRaWAN_Temperature___Humidity_Sensor",$B$7="LTC2_V1.0",$B$7="LHT65_LoRaWAN_Temperature___Humidity_Sensor"),OR($D$11="MOD=1",$D$11="WMOD=1",$D$11="EXT=1,WMOD=1",$D$11="EXT=4,WMOD=1",$D$11="EXT=5,WMOD=1",$D$11="EXT=6,WMOD=1",$D$11="EXT=8,WMOD=1",$D$11="EXT=9,WMOD=1",$D$11="EXT=1 with DS18B20,WMOD=1"))),VLOOKUP($B$7,$A$42:$L$82,12,0),0)</f>
        <v>0.0</v>
      </c>
      <c r="K24" s="28">
        <f>IF($B$7="LSN50_V2____Waterproof_Long_Range_Wireless_LoRa_Sensor_Node",VLOOKUP(B31,B30:S36,17,0),0)</f>
        <v>0.0</v>
      </c>
      <c r="L24" s="30">
        <f>$C$7/(I24*8760+($C$7*0.02))</f>
        <v>2.141124597484219</v>
      </c>
    </row>
    <row r="25" spans="8:8">
      <c r="A25" s="1" t="s">
        <v>40</v>
      </c>
    </row>
    <row r="26" spans="8:8" ht="12.0" hidden="1" customHeight="1"/>
    <row r="27" spans="8:8" ht="15.0" hidden="1">
      <c r="C27" s="1" t="s">
        <v>41</v>
      </c>
      <c r="D27" s="1" t="s">
        <v>42</v>
      </c>
      <c r="E27" s="1" t="s">
        <v>43</v>
      </c>
      <c r="F27" s="1" t="s">
        <v>44</v>
      </c>
      <c r="G27" s="1" t="s">
        <v>45</v>
      </c>
      <c r="H27" s="1" t="s">
        <v>46</v>
      </c>
      <c r="I27" s="1" t="s">
        <v>47</v>
      </c>
      <c r="J27" s="31" t="s">
        <v>48</v>
      </c>
      <c r="K27" s="31"/>
      <c r="L27" s="1" t="s">
        <v>49</v>
      </c>
      <c r="M27" s="31" t="s">
        <v>50</v>
      </c>
      <c r="N27" s="1" t="s">
        <v>51</v>
      </c>
      <c r="O27" s="1" t="s">
        <v>52</v>
      </c>
      <c r="P27" s="1" t="s">
        <v>53</v>
      </c>
      <c r="Q27" s="1" t="s">
        <v>54</v>
      </c>
      <c r="R27" s="31" t="s">
        <v>55</v>
      </c>
    </row>
    <row r="28" spans="8:8" ht="15.0" hidden="1">
      <c r="A28" s="1" t="s">
        <v>23</v>
      </c>
      <c r="B28" s="1" t="s">
        <v>24</v>
      </c>
      <c r="C28" s="1">
        <v>74.0</v>
      </c>
      <c r="D28" s="1">
        <v>49.0</v>
      </c>
      <c r="E28" s="1">
        <v>215.0</v>
      </c>
      <c r="F28" s="1">
        <v>1.0</v>
      </c>
      <c r="G28" s="1">
        <v>91.5656</v>
      </c>
      <c r="H28" s="1">
        <v>9.97112</v>
      </c>
      <c r="I28" s="1">
        <v>11.0562</v>
      </c>
      <c r="J28" s="1">
        <v>10.0</v>
      </c>
      <c r="L28" s="1">
        <v>3.35756</v>
      </c>
      <c r="M28" s="1">
        <v>4.05813</v>
      </c>
      <c r="N28" s="1">
        <f>C28*(G28+P20)</f>
        <v>7367.8544</v>
      </c>
      <c r="O28" s="1">
        <f>D28*(H28+P20)</f>
        <v>880.58488</v>
      </c>
      <c r="P28" s="1">
        <f>E28*(I28+P20)</f>
        <v>4097.0830000000005</v>
      </c>
      <c r="Q28" s="1">
        <f t="shared" si="5" ref="Q28:Q33">(F28*(L28+$P$20))*($C$11*VLOOKUP($B$11,$O$10:$P$16,2,0)/18000)</f>
        <v>757.1706666666666</v>
      </c>
      <c r="R28" s="1">
        <f t="array" ref="R28">(J28*M28)*($C$11*(VLOOKUP($B$11,$O$10:$P$16,2,0)/500))</f>
        <v>97395.12</v>
      </c>
    </row>
    <row r="29" spans="8:8" ht="15.0" hidden="1">
      <c r="A29" s="1" t="s">
        <v>23</v>
      </c>
      <c r="B29" s="1" t="s">
        <v>26</v>
      </c>
      <c r="C29" s="1">
        <v>128.0</v>
      </c>
      <c r="D29" s="1">
        <v>51.0</v>
      </c>
      <c r="E29" s="1">
        <v>215.0</v>
      </c>
      <c r="F29" s="1">
        <v>1.0</v>
      </c>
      <c r="G29" s="1">
        <v>95.2051</v>
      </c>
      <c r="H29" s="1">
        <v>10.6293</v>
      </c>
      <c r="I29" s="1">
        <v>11.0562</v>
      </c>
      <c r="J29" s="1">
        <v>10.0</v>
      </c>
      <c r="L29" s="1">
        <v>3.35756</v>
      </c>
      <c r="M29" s="1">
        <v>4.05813</v>
      </c>
      <c r="N29" s="1">
        <f>C29*(G29+P20)</f>
        <v>13210.2528</v>
      </c>
      <c r="O29" s="1">
        <f>D29*(H29+P20)</f>
        <v>950.0943</v>
      </c>
      <c r="P29" s="1">
        <f>E29*(I29+P20)</f>
        <v>4097.0830000000005</v>
      </c>
      <c r="Q29" s="1">
        <f t="shared" si="5"/>
        <v>757.1706666666666</v>
      </c>
      <c r="R29" s="1">
        <f t="array" ref="R29">(J29*M29)*($C$11*(VLOOKUP($B$11,$O$10:$P$16,2,0)/500))</f>
        <v>97395.12</v>
      </c>
    </row>
    <row r="30" spans="8:8" ht="15.0" hidden="1">
      <c r="A30" s="1" t="s">
        <v>23</v>
      </c>
      <c r="B30" s="1" t="s">
        <v>28</v>
      </c>
      <c r="C30" s="1">
        <v>224.0</v>
      </c>
      <c r="D30" s="1">
        <v>54.0</v>
      </c>
      <c r="E30" s="1">
        <v>215.0</v>
      </c>
      <c r="F30" s="1">
        <v>1.0</v>
      </c>
      <c r="G30" s="1">
        <v>97.592</v>
      </c>
      <c r="H30" s="1">
        <v>11.7784</v>
      </c>
      <c r="I30" s="1">
        <v>11.0562</v>
      </c>
      <c r="J30" s="1">
        <v>10.0</v>
      </c>
      <c r="L30" s="1">
        <v>3.35756</v>
      </c>
      <c r="M30" s="1">
        <v>4.05813</v>
      </c>
      <c r="N30" s="1">
        <f>C30*(G30+P20)</f>
        <v>23652.608</v>
      </c>
      <c r="O30" s="1">
        <f>D30*(H30+P20)</f>
        <v>1068.0336</v>
      </c>
      <c r="P30" s="1">
        <f>E30*(I30+P20)</f>
        <v>4097.0830000000005</v>
      </c>
      <c r="Q30" s="1">
        <f t="shared" si="5"/>
        <v>757.1706666666666</v>
      </c>
      <c r="R30" s="1">
        <f t="array" ref="R30">(J30*M30)*($C$11*(VLOOKUP($B$11,$O$10:$P$16,2,0)/500))</f>
        <v>97395.12</v>
      </c>
    </row>
    <row r="31" spans="8:8" ht="15.0" hidden="1">
      <c r="A31" s="1" t="s">
        <v>23</v>
      </c>
      <c r="B31" s="1" t="s">
        <v>30</v>
      </c>
      <c r="C31" s="1">
        <v>399.0</v>
      </c>
      <c r="D31" s="1">
        <v>76.0</v>
      </c>
      <c r="E31" s="1">
        <v>215.0</v>
      </c>
      <c r="F31" s="1">
        <v>1.0</v>
      </c>
      <c r="G31" s="1">
        <v>97.875</v>
      </c>
      <c r="H31" s="1">
        <v>11.2301</v>
      </c>
      <c r="I31" s="1">
        <v>11.0562</v>
      </c>
      <c r="J31" s="1">
        <v>10.0</v>
      </c>
      <c r="L31" s="1">
        <v>3.35756</v>
      </c>
      <c r="M31" s="1">
        <v>4.05813</v>
      </c>
      <c r="N31" s="1">
        <f>C31*(G31+P20)</f>
        <v>42244.125</v>
      </c>
      <c r="O31" s="1">
        <f>D31*(H31+P20)</f>
        <v>1461.4876</v>
      </c>
      <c r="P31" s="1">
        <f>E31*(I31+P20)</f>
        <v>4097.0830000000005</v>
      </c>
      <c r="Q31" s="1">
        <f t="shared" si="5"/>
        <v>757.1706666666666</v>
      </c>
      <c r="R31" s="1">
        <f t="array" ref="R31">(J31*M31)*($C$11*(VLOOKUP($B$11,$O$10:$P$16,2,0)/500))</f>
        <v>97395.12</v>
      </c>
    </row>
    <row r="32" spans="8:8" ht="15.0" hidden="1">
      <c r="A32" s="1" t="s">
        <v>23</v>
      </c>
      <c r="B32" s="1" t="s">
        <v>31</v>
      </c>
      <c r="C32" s="1">
        <v>850.0</v>
      </c>
      <c r="D32" s="1">
        <v>116.0</v>
      </c>
      <c r="E32" s="1">
        <v>215.0</v>
      </c>
      <c r="F32" s="1">
        <v>1.0</v>
      </c>
      <c r="G32" s="1">
        <v>102.604</v>
      </c>
      <c r="H32" s="1">
        <v>11.2283</v>
      </c>
      <c r="I32" s="1">
        <v>11.0562</v>
      </c>
      <c r="J32" s="1">
        <v>10.0</v>
      </c>
      <c r="L32" s="1">
        <v>3.35756</v>
      </c>
      <c r="M32" s="1">
        <v>4.05813</v>
      </c>
      <c r="N32" s="1">
        <f>C32*(G32+P20)</f>
        <v>94013.4</v>
      </c>
      <c r="O32" s="1">
        <f>D32*(H32+P20)</f>
        <v>2230.4828</v>
      </c>
      <c r="P32" s="1">
        <f>E32*(I32+P20)</f>
        <v>4097.0830000000005</v>
      </c>
      <c r="Q32" s="1">
        <f t="shared" si="5"/>
        <v>757.1706666666666</v>
      </c>
      <c r="R32" s="1">
        <f t="array" ref="R32">(J32*M32)*($C$11*(VLOOKUP($B$11,$O$10:$P$16,2,0)/500))</f>
        <v>97395.12</v>
      </c>
    </row>
    <row r="33" spans="8:8" ht="15.0" hidden="1">
      <c r="A33" s="1" t="s">
        <v>23</v>
      </c>
      <c r="B33" s="1" t="s">
        <v>32</v>
      </c>
      <c r="C33" s="1">
        <v>1500.0</v>
      </c>
      <c r="D33" s="1">
        <v>215.0</v>
      </c>
      <c r="E33" s="1">
        <v>215.0</v>
      </c>
      <c r="F33" s="1">
        <v>1.0</v>
      </c>
      <c r="G33" s="1">
        <v>104.054</v>
      </c>
      <c r="H33" s="1">
        <v>11.0562</v>
      </c>
      <c r="I33" s="1">
        <v>11.0562</v>
      </c>
      <c r="J33" s="1">
        <v>10.0</v>
      </c>
      <c r="L33" s="1">
        <v>3.35756</v>
      </c>
      <c r="M33" s="1">
        <v>4.05813</v>
      </c>
      <c r="N33" s="1">
        <f>C33*(G33+P20)</f>
        <v>168081.0</v>
      </c>
      <c r="O33" s="1">
        <f>D33*(H33+P20)</f>
        <v>4097.0830000000005</v>
      </c>
      <c r="P33" s="1">
        <f>E33*(I33+P20)</f>
        <v>4097.0830000000005</v>
      </c>
      <c r="Q33" s="1">
        <f t="shared" si="5"/>
        <v>757.1706666666666</v>
      </c>
      <c r="R33" s="1">
        <f t="array" ref="R33">(J33*M33)*($C$11*(VLOOKUP($B$11,$O$10:$P$16,2,0)/500))</f>
        <v>97395.12</v>
      </c>
    </row>
    <row r="34" spans="8:8" ht="15.0" hidden="1"/>
    <row r="35" spans="8:8" ht="15.0" hidden="1">
      <c r="A35" s="1" t="s">
        <v>34</v>
      </c>
      <c r="B35" s="1" t="s">
        <v>35</v>
      </c>
      <c r="C35" s="1">
        <v>74.0</v>
      </c>
      <c r="D35" s="1">
        <v>49.0</v>
      </c>
      <c r="E35" s="1">
        <v>75.0</v>
      </c>
      <c r="F35" s="1">
        <v>1.0</v>
      </c>
      <c r="G35" s="1">
        <v>106.074</v>
      </c>
      <c r="H35" s="1">
        <v>5.91061</v>
      </c>
      <c r="I35" s="1">
        <v>13.1618</v>
      </c>
      <c r="J35" s="1">
        <v>10.0</v>
      </c>
      <c r="L35" s="1">
        <v>3.35756</v>
      </c>
      <c r="M35" s="1">
        <v>4.05813</v>
      </c>
      <c r="N35" s="1">
        <f>C35*(G35+P20)</f>
        <v>8441.476</v>
      </c>
      <c r="O35" s="1">
        <f>D35*(H35+P20)</f>
        <v>681.61989</v>
      </c>
      <c r="P35" s="1">
        <f>E35*(I35+P20)</f>
        <v>1587.135</v>
      </c>
      <c r="Q35" s="1">
        <f>(F35*(L35+$P$20))*($C$11*VLOOKUP($B$11,$O$10:$P$16,2,0)/18000)</f>
        <v>757.1706666666666</v>
      </c>
      <c r="R35" s="1">
        <f t="array" ref="R35">(J35*M35)*($C$11*(VLOOKUP($B$11,$O$10:$P$16,2,0)/500))</f>
        <v>97395.12</v>
      </c>
    </row>
    <row r="36" spans="8:8" ht="15.0" hidden="1">
      <c r="A36" s="1" t="s">
        <v>34</v>
      </c>
      <c r="B36" s="1" t="s">
        <v>37</v>
      </c>
      <c r="C36" s="1">
        <v>127.0</v>
      </c>
      <c r="D36" s="1">
        <v>49.0</v>
      </c>
      <c r="E36" s="1">
        <v>75.0</v>
      </c>
      <c r="F36" s="1">
        <v>1.0</v>
      </c>
      <c r="G36" s="1">
        <v>111.455</v>
      </c>
      <c r="H36" s="1">
        <v>10.6459</v>
      </c>
      <c r="I36" s="1">
        <v>13.1618</v>
      </c>
      <c r="J36" s="1">
        <v>10.0</v>
      </c>
      <c r="L36" s="1">
        <v>3.35756</v>
      </c>
      <c r="M36" s="1">
        <v>4.05813</v>
      </c>
      <c r="N36" s="1">
        <f>C36*(G36+P20)</f>
        <v>15170.785</v>
      </c>
      <c r="O36" s="1">
        <f>D36*(H36+P20)</f>
        <v>913.6490999999999</v>
      </c>
      <c r="P36" s="1">
        <f>E36*(I36+P20)</f>
        <v>1587.135</v>
      </c>
      <c r="Q36" s="1">
        <f>(F36*(L36+$P$20))*($C$11*VLOOKUP($B$11,$O$10:$P$16,2,0)/18000)</f>
        <v>757.1706666666666</v>
      </c>
      <c r="R36" s="1">
        <f t="array" ref="R36">(J36*M36)*($C$11*(VLOOKUP($B$11,$O$10:$P$16,2,0)/500))</f>
        <v>97395.12</v>
      </c>
    </row>
    <row r="37" spans="8:8" ht="15.0" hidden="1">
      <c r="A37" s="1" t="s">
        <v>34</v>
      </c>
      <c r="B37" s="1" t="s">
        <v>38</v>
      </c>
      <c r="C37" s="1">
        <v>221.0</v>
      </c>
      <c r="D37" s="1">
        <v>49.0</v>
      </c>
      <c r="E37" s="1">
        <v>75.0</v>
      </c>
      <c r="F37" s="1">
        <v>1.0</v>
      </c>
      <c r="G37" s="1">
        <v>115.323</v>
      </c>
      <c r="H37" s="1">
        <v>11.212</v>
      </c>
      <c r="I37" s="1">
        <v>13.1618</v>
      </c>
      <c r="J37" s="1">
        <v>10.0</v>
      </c>
      <c r="L37" s="1">
        <v>3.35756</v>
      </c>
      <c r="M37" s="1">
        <v>4.05813</v>
      </c>
      <c r="N37" s="1">
        <f>C37*(G37+P20)</f>
        <v>27254.382999999998</v>
      </c>
      <c r="O37" s="1">
        <f>D37*(H37+P20)</f>
        <v>941.388</v>
      </c>
      <c r="P37" s="1">
        <f>E37*(I37+P20)</f>
        <v>1587.135</v>
      </c>
      <c r="Q37" s="1">
        <f>(F37*(L37+$P$20))*($C$11*VLOOKUP($B$11,$O$10:$P$16,2,0)/18000)</f>
        <v>757.1706666666666</v>
      </c>
      <c r="R37" s="1">
        <f t="array" ref="R37">(J37*M37)*($C$11*(VLOOKUP($B$11,$O$10:$P$16,2,0)/500))</f>
        <v>97395.12</v>
      </c>
    </row>
    <row r="38" spans="8:8" ht="15.0" hidden="1">
      <c r="A38" s="1" t="s">
        <v>34</v>
      </c>
      <c r="B38" s="1" t="s">
        <v>39</v>
      </c>
      <c r="C38" s="1">
        <v>390.0</v>
      </c>
      <c r="D38" s="1">
        <v>49.0</v>
      </c>
      <c r="E38" s="1">
        <v>75.0</v>
      </c>
      <c r="F38" s="1">
        <v>1.0</v>
      </c>
      <c r="G38" s="1">
        <v>116.988</v>
      </c>
      <c r="H38" s="1">
        <v>12.3107</v>
      </c>
      <c r="I38" s="1">
        <v>13.1618</v>
      </c>
      <c r="J38" s="1">
        <v>10.0</v>
      </c>
      <c r="L38" s="1">
        <v>3.35756</v>
      </c>
      <c r="M38" s="1">
        <v>4.05813</v>
      </c>
      <c r="N38" s="1">
        <f>C38*(G38+P20)</f>
        <v>48745.32</v>
      </c>
      <c r="O38" s="1">
        <f>D38*(H38+P20)</f>
        <v>995.2243000000001</v>
      </c>
      <c r="P38" s="1">
        <f>E38*(I38+P20)</f>
        <v>1587.135</v>
      </c>
      <c r="Q38" s="1">
        <f>(F38*(L38+$P$20))*($C$11*VLOOKUP($B$11,$O$10:$P$16,2,0)/18000)</f>
        <v>757.1706666666666</v>
      </c>
      <c r="R38" s="1">
        <f t="array" ref="R38">(J38*M38)*($C$11*(VLOOKUP($B$11,$O$10:$P$16,2,0)/500))</f>
        <v>97395.12</v>
      </c>
    </row>
    <row r="39" spans="8:8" ht="15.0" hidden="1"/>
    <row r="40" spans="8:8" ht="15.0" hidden="1"/>
    <row r="41" spans="8:8" ht="15.0" hidden="1">
      <c r="C41" s="32" t="s">
        <v>56</v>
      </c>
      <c r="D41" s="32" t="s">
        <v>57</v>
      </c>
      <c r="E41" s="32" t="s">
        <v>58</v>
      </c>
      <c r="F41" s="32" t="s">
        <v>59</v>
      </c>
      <c r="G41" s="33" t="s">
        <v>60</v>
      </c>
      <c r="H41" s="33" t="s">
        <v>61</v>
      </c>
      <c r="I41" s="32" t="s">
        <v>62</v>
      </c>
      <c r="J41" s="32" t="s">
        <v>63</v>
      </c>
      <c r="K41" s="32"/>
      <c r="L41" s="34" t="s">
        <v>64</v>
      </c>
      <c r="M41" s="1">
        <f>VLOOKUP(B7,M42:N59,2,0)</f>
        <v>1000.0</v>
      </c>
    </row>
    <row r="42" spans="8:8" ht="15.0" hidden="1">
      <c r="A42" s="1" t="s">
        <v>65</v>
      </c>
      <c r="B42" s="1" t="s">
        <v>66</v>
      </c>
      <c r="C42" s="32">
        <v>122.0</v>
      </c>
      <c r="D42" s="32">
        <v>9.68838</v>
      </c>
      <c r="E42" s="32">
        <f>$C$11*VLOOKUP($B$11,$O$10:$P$16,2,0)</f>
        <v>1200000.0</v>
      </c>
      <c r="F42" s="32">
        <v>0.004</v>
      </c>
      <c r="G42" s="33">
        <f>E42*F42</f>
        <v>4800.0</v>
      </c>
      <c r="H42" s="33">
        <f t="shared" si="6" ref="H42:H87">C42*D42</f>
        <v>1181.98236</v>
      </c>
      <c r="I42" s="35">
        <v>71.0</v>
      </c>
      <c r="J42" s="32">
        <v>10.6103</v>
      </c>
      <c r="K42" s="32"/>
      <c r="L42" s="34">
        <f t="shared" si="7" ref="L42:L49">(I42*(J42+$P$20))*($C$11*VLOOKUP($B$11,$O$10:$P$16,2,0)/60000)</f>
        <v>26426.626</v>
      </c>
      <c r="M42" s="1" t="s">
        <v>65</v>
      </c>
      <c r="N42" s="1">
        <v>2400.0</v>
      </c>
      <c r="Q42" s="36"/>
    </row>
    <row r="43" spans="8:8" ht="15.0" hidden="1">
      <c r="A43" s="1" t="s">
        <v>65</v>
      </c>
      <c r="B43" s="1" t="s">
        <v>67</v>
      </c>
      <c r="C43" s="32">
        <v>112.0</v>
      </c>
      <c r="D43" s="32">
        <v>9.74707</v>
      </c>
      <c r="E43" s="32">
        <f t="shared" si="8" ref="E43:E87">$C$11*VLOOKUP($B$11,$O$10:$P$16,2,0)</f>
        <v>1200000.0</v>
      </c>
      <c r="F43" s="32">
        <v>0.004</v>
      </c>
      <c r="G43" s="33">
        <f t="shared" si="9" ref="G43:G87">E43*F43</f>
        <v>4800.0</v>
      </c>
      <c r="H43" s="33">
        <f t="shared" si="6"/>
        <v>1091.67184</v>
      </c>
      <c r="I43" s="35">
        <v>71.0</v>
      </c>
      <c r="J43" s="32">
        <v>10.6103</v>
      </c>
      <c r="K43" s="32"/>
      <c r="L43" s="34">
        <f t="shared" si="7"/>
        <v>26426.626</v>
      </c>
      <c r="M43" s="1" t="s">
        <v>68</v>
      </c>
      <c r="N43" s="1">
        <v>4000.0</v>
      </c>
    </row>
    <row r="44" spans="8:8" ht="15.0" hidden="1">
      <c r="A44" s="1" t="s">
        <v>65</v>
      </c>
      <c r="B44" s="1" t="s">
        <v>69</v>
      </c>
      <c r="C44" s="32">
        <v>321.0</v>
      </c>
      <c r="D44" s="32">
        <v>9.42957</v>
      </c>
      <c r="E44" s="32">
        <f t="shared" si="8"/>
        <v>1200000.0</v>
      </c>
      <c r="F44" s="32">
        <v>0.004</v>
      </c>
      <c r="G44" s="33">
        <f t="shared" si="9"/>
        <v>4800.0</v>
      </c>
      <c r="H44" s="33">
        <f t="shared" si="6"/>
        <v>3026.89197</v>
      </c>
      <c r="I44" s="35">
        <v>71.0</v>
      </c>
      <c r="J44" s="32">
        <v>10.6103</v>
      </c>
      <c r="K44" s="32"/>
      <c r="L44" s="34">
        <f t="shared" si="7"/>
        <v>26426.626</v>
      </c>
      <c r="M44" s="1" t="s">
        <v>70</v>
      </c>
      <c r="N44" s="1">
        <v>4000.0</v>
      </c>
    </row>
    <row r="45" spans="8:8" ht="15.0" hidden="1">
      <c r="A45" s="1" t="s">
        <v>65</v>
      </c>
      <c r="B45" s="1" t="s">
        <v>71</v>
      </c>
      <c r="C45" s="32">
        <v>312.0</v>
      </c>
      <c r="D45" s="32">
        <v>9.38965</v>
      </c>
      <c r="E45" s="32">
        <f t="shared" si="8"/>
        <v>1200000.0</v>
      </c>
      <c r="F45" s="32">
        <v>0.004</v>
      </c>
      <c r="G45" s="33">
        <f t="shared" si="9"/>
        <v>4800.0</v>
      </c>
      <c r="H45" s="33">
        <f t="shared" si="6"/>
        <v>2929.5708</v>
      </c>
      <c r="I45" s="35">
        <v>71.0</v>
      </c>
      <c r="J45" s="32">
        <v>10.6103</v>
      </c>
      <c r="K45" s="32"/>
      <c r="L45" s="34">
        <f t="shared" si="7"/>
        <v>26426.626</v>
      </c>
      <c r="M45" s="1" t="s">
        <v>72</v>
      </c>
      <c r="N45" s="1">
        <v>8500.0</v>
      </c>
    </row>
    <row r="46" spans="8:8" ht="15.0" hidden="1">
      <c r="A46" s="1" t="s">
        <v>65</v>
      </c>
      <c r="B46" s="1" t="s">
        <v>73</v>
      </c>
      <c r="C46" s="32">
        <v>112.0</v>
      </c>
      <c r="D46" s="32">
        <v>9.66592</v>
      </c>
      <c r="E46" s="32">
        <f t="shared" si="8"/>
        <v>1200000.0</v>
      </c>
      <c r="F46" s="32">
        <v>0.004</v>
      </c>
      <c r="G46" s="33">
        <f t="shared" si="9"/>
        <v>4800.0</v>
      </c>
      <c r="H46" s="33">
        <f t="shared" si="6"/>
        <v>1082.58304</v>
      </c>
      <c r="I46" s="35">
        <v>71.0</v>
      </c>
      <c r="J46" s="32">
        <v>10.6103</v>
      </c>
      <c r="K46" s="32"/>
      <c r="L46" s="34">
        <f t="shared" si="7"/>
        <v>26426.626</v>
      </c>
      <c r="M46" s="1" t="s">
        <v>74</v>
      </c>
      <c r="N46" s="1">
        <v>8500.0</v>
      </c>
    </row>
    <row r="47" spans="8:8" ht="15.0" hidden="1">
      <c r="A47" s="1" t="s">
        <v>65</v>
      </c>
      <c r="B47" s="1" t="s">
        <v>75</v>
      </c>
      <c r="C47" s="32">
        <v>950.0</v>
      </c>
      <c r="D47" s="32">
        <v>9.83008</v>
      </c>
      <c r="E47" s="32">
        <f t="shared" si="8"/>
        <v>1200000.0</v>
      </c>
      <c r="F47" s="32">
        <v>0.004</v>
      </c>
      <c r="G47" s="33">
        <f t="shared" si="9"/>
        <v>4800.0</v>
      </c>
      <c r="H47" s="33">
        <f t="shared" si="6"/>
        <v>9338.576000000001</v>
      </c>
      <c r="I47" s="35">
        <v>71.0</v>
      </c>
      <c r="J47" s="32">
        <v>10.6103</v>
      </c>
      <c r="K47" s="32"/>
      <c r="L47" s="34">
        <f t="shared" si="7"/>
        <v>26426.626</v>
      </c>
      <c r="M47" s="1" t="s">
        <v>76</v>
      </c>
      <c r="N47" s="1">
        <v>8500.0</v>
      </c>
    </row>
    <row r="48" spans="8:8" ht="15.0" hidden="1">
      <c r="A48" s="1" t="s">
        <v>65</v>
      </c>
      <c r="B48" s="1" t="s">
        <v>77</v>
      </c>
      <c r="C48" s="32">
        <v>950.0</v>
      </c>
      <c r="D48" s="32">
        <v>9.70114</v>
      </c>
      <c r="E48" s="32">
        <f t="shared" si="8"/>
        <v>1200000.0</v>
      </c>
      <c r="F48" s="32">
        <v>0.0036</v>
      </c>
      <c r="G48" s="33">
        <f t="shared" si="9"/>
        <v>4320.0</v>
      </c>
      <c r="H48" s="33">
        <f t="shared" si="6"/>
        <v>9216.083</v>
      </c>
      <c r="I48" s="35">
        <v>71.0</v>
      </c>
      <c r="J48" s="32">
        <v>10.6103</v>
      </c>
      <c r="K48" s="32"/>
      <c r="L48" s="34">
        <f t="shared" si="7"/>
        <v>26426.626</v>
      </c>
      <c r="M48" s="1" t="s">
        <v>78</v>
      </c>
      <c r="N48" s="1">
        <v>240.0</v>
      </c>
    </row>
    <row r="49" spans="8:8" ht="15.0" hidden="1">
      <c r="A49" s="1" t="s">
        <v>70</v>
      </c>
      <c r="B49" s="1" t="s">
        <v>79</v>
      </c>
      <c r="C49" s="32">
        <v>112.0</v>
      </c>
      <c r="D49" s="32">
        <v>10.1926</v>
      </c>
      <c r="E49" s="32">
        <f t="shared" si="8"/>
        <v>1200000.0</v>
      </c>
      <c r="F49" s="32">
        <v>0.006</v>
      </c>
      <c r="G49" s="34">
        <f t="shared" si="9"/>
        <v>7200.0</v>
      </c>
      <c r="H49" s="34">
        <f t="shared" si="6"/>
        <v>1141.5712</v>
      </c>
      <c r="I49" s="35">
        <v>1700.0</v>
      </c>
      <c r="J49" s="32">
        <v>11.7713</v>
      </c>
      <c r="K49" s="32"/>
      <c r="L49" s="34">
        <f t="shared" si="7"/>
        <v>672224.2</v>
      </c>
      <c r="M49" s="1" t="s">
        <v>80</v>
      </c>
      <c r="N49" s="1">
        <v>240.0</v>
      </c>
    </row>
    <row r="50" spans="8:8" ht="15.0" hidden="1">
      <c r="A50" s="1" t="s">
        <v>68</v>
      </c>
      <c r="B50" s="1" t="s">
        <v>79</v>
      </c>
      <c r="C50" s="32">
        <v>998.0</v>
      </c>
      <c r="D50" s="32">
        <v>10.5007</v>
      </c>
      <c r="E50" s="32">
        <f t="shared" si="8"/>
        <v>1200000.0</v>
      </c>
      <c r="F50" s="32">
        <v>0.034</v>
      </c>
      <c r="G50" s="34">
        <f t="shared" si="9"/>
        <v>40800.0</v>
      </c>
      <c r="H50" s="34">
        <f t="shared" si="6"/>
        <v>10479.6986</v>
      </c>
      <c r="I50" s="35"/>
      <c r="J50" s="32"/>
      <c r="K50" s="32"/>
      <c r="L50" s="34"/>
      <c r="M50" s="1" t="s">
        <v>81</v>
      </c>
      <c r="N50" s="1">
        <v>8500.0</v>
      </c>
    </row>
    <row r="51" spans="8:8" ht="15.0" hidden="1">
      <c r="A51" s="1" t="s">
        <v>68</v>
      </c>
      <c r="B51" s="1" t="s">
        <v>82</v>
      </c>
      <c r="C51" s="32">
        <v>1250.0</v>
      </c>
      <c r="D51" s="32">
        <v>120.172</v>
      </c>
      <c r="E51" s="32">
        <f t="shared" si="8"/>
        <v>1200000.0</v>
      </c>
      <c r="F51" s="32">
        <v>0.0054</v>
      </c>
      <c r="G51" s="34">
        <f t="shared" si="9"/>
        <v>6480.0</v>
      </c>
      <c r="H51" s="34">
        <f t="shared" si="6"/>
        <v>150215.0</v>
      </c>
      <c r="I51" s="35"/>
      <c r="J51" s="32"/>
      <c r="K51" s="32"/>
      <c r="L51" s="34"/>
      <c r="M51" s="1" t="s">
        <v>83</v>
      </c>
      <c r="N51" s="1">
        <v>8500.0</v>
      </c>
    </row>
    <row r="52" spans="8:8" ht="15.0" hidden="1">
      <c r="A52" s="1" t="s">
        <v>68</v>
      </c>
      <c r="B52" s="1" t="s">
        <v>84</v>
      </c>
      <c r="C52" s="32">
        <v>1250.0</v>
      </c>
      <c r="D52" s="32">
        <v>24.0487</v>
      </c>
      <c r="E52" s="32">
        <f t="shared" si="8"/>
        <v>1200000.0</v>
      </c>
      <c r="F52" s="32">
        <v>0.0058</v>
      </c>
      <c r="G52" s="34">
        <f t="shared" si="9"/>
        <v>6959.999999999999</v>
      </c>
      <c r="H52" s="34">
        <f t="shared" si="6"/>
        <v>30060.875</v>
      </c>
      <c r="I52" s="35"/>
      <c r="J52" s="32"/>
      <c r="K52" s="32"/>
      <c r="L52" s="34"/>
      <c r="M52" s="1" t="s">
        <v>85</v>
      </c>
      <c r="N52" s="1">
        <v>8500.0</v>
      </c>
    </row>
    <row r="53" spans="8:8" ht="15.0" hidden="1">
      <c r="A53" s="1" t="s">
        <v>68</v>
      </c>
      <c r="B53" s="1" t="s">
        <v>86</v>
      </c>
      <c r="C53" s="32">
        <v>3200.0</v>
      </c>
      <c r="D53" s="32">
        <v>36.3731</v>
      </c>
      <c r="E53" s="32">
        <f t="shared" si="8"/>
        <v>1200000.0</v>
      </c>
      <c r="F53" s="32">
        <v>0.0067</v>
      </c>
      <c r="G53" s="34">
        <f t="shared" si="9"/>
        <v>8040.0</v>
      </c>
      <c r="H53" s="34">
        <f t="shared" si="6"/>
        <v>116393.92</v>
      </c>
      <c r="I53" s="35"/>
      <c r="J53" s="32"/>
      <c r="K53" s="32"/>
      <c r="L53" s="34"/>
      <c r="M53" s="1" t="s">
        <v>87</v>
      </c>
      <c r="N53" s="1">
        <v>1000.0</v>
      </c>
    </row>
    <row r="54" spans="8:8" ht="15.0" hidden="1">
      <c r="A54" s="1" t="s">
        <v>68</v>
      </c>
      <c r="B54" s="1" t="s">
        <v>88</v>
      </c>
      <c r="C54" s="32">
        <v>1250.0</v>
      </c>
      <c r="D54" s="32">
        <v>9.97744</v>
      </c>
      <c r="E54" s="32">
        <f t="shared" si="8"/>
        <v>1200000.0</v>
      </c>
      <c r="F54" s="32">
        <v>0.004</v>
      </c>
      <c r="G54" s="34">
        <f t="shared" si="9"/>
        <v>4800.0</v>
      </c>
      <c r="H54" s="34">
        <f t="shared" si="6"/>
        <v>12471.8</v>
      </c>
      <c r="I54" s="35"/>
      <c r="J54" s="32"/>
      <c r="K54" s="32"/>
      <c r="L54" s="34"/>
      <c r="M54" s="1" t="s">
        <v>89</v>
      </c>
      <c r="N54" s="1">
        <v>1000.0</v>
      </c>
    </row>
    <row r="55" spans="8:8" ht="15.0" hidden="1">
      <c r="A55" s="1" t="s">
        <v>68</v>
      </c>
      <c r="B55" s="1" t="s">
        <v>90</v>
      </c>
      <c r="C55" s="32">
        <v>2600.0</v>
      </c>
      <c r="D55" s="32">
        <v>9.52768</v>
      </c>
      <c r="E55" s="32">
        <f t="shared" si="8"/>
        <v>1200000.0</v>
      </c>
      <c r="F55" s="32">
        <v>0.0137</v>
      </c>
      <c r="G55" s="34">
        <f t="shared" si="9"/>
        <v>16440.0</v>
      </c>
      <c r="H55" s="34">
        <f t="shared" si="6"/>
        <v>24771.968</v>
      </c>
      <c r="I55" s="35"/>
      <c r="J55" s="32"/>
      <c r="K55" s="32"/>
      <c r="L55" s="34"/>
      <c r="M55" s="1" t="s">
        <v>91</v>
      </c>
      <c r="N55" s="1">
        <v>8500.0</v>
      </c>
    </row>
    <row r="56" spans="8:8" ht="15.0" hidden="1">
      <c r="A56" s="1" t="s">
        <v>68</v>
      </c>
      <c r="B56" s="1" t="s">
        <v>92</v>
      </c>
      <c r="C56" s="32">
        <v>1300.0</v>
      </c>
      <c r="D56" s="32">
        <v>26.4084</v>
      </c>
      <c r="E56" s="32">
        <f t="shared" si="8"/>
        <v>1200000.0</v>
      </c>
      <c r="F56" s="32">
        <v>0.008</v>
      </c>
      <c r="G56" s="34">
        <f t="shared" si="9"/>
        <v>9600.0</v>
      </c>
      <c r="H56" s="34">
        <f t="shared" si="6"/>
        <v>34330.92</v>
      </c>
      <c r="I56" s="35"/>
      <c r="J56" s="32"/>
      <c r="K56" s="32"/>
      <c r="L56" s="34"/>
      <c r="M56" s="1" t="s">
        <v>93</v>
      </c>
      <c r="N56" s="1">
        <v>8500.0</v>
      </c>
    </row>
    <row r="57" spans="8:8" ht="15.0" hidden="1">
      <c r="A57" s="1" t="s">
        <v>68</v>
      </c>
      <c r="B57" s="1" t="s">
        <v>94</v>
      </c>
      <c r="C57" s="32">
        <v>1300.0</v>
      </c>
      <c r="D57" s="32">
        <v>9.73149</v>
      </c>
      <c r="E57" s="32">
        <f t="shared" si="8"/>
        <v>1200000.0</v>
      </c>
      <c r="F57" s="32">
        <v>0.006</v>
      </c>
      <c r="G57" s="34">
        <f t="shared" si="9"/>
        <v>7200.0</v>
      </c>
      <c r="H57" s="34">
        <f t="shared" si="6"/>
        <v>12650.937000000002</v>
      </c>
      <c r="I57" s="35"/>
      <c r="J57" s="32"/>
      <c r="K57" s="32"/>
      <c r="L57" s="34"/>
      <c r="M57" s="1" t="s">
        <v>95</v>
      </c>
      <c r="N57" s="1">
        <v>8500.0</v>
      </c>
    </row>
    <row r="58" spans="8:8" ht="15.0" hidden="1">
      <c r="A58" s="1" t="s">
        <v>72</v>
      </c>
      <c r="B58" s="1" t="s">
        <v>79</v>
      </c>
      <c r="C58" s="32">
        <v>7000.0</v>
      </c>
      <c r="D58" s="32">
        <v>24.6066</v>
      </c>
      <c r="E58" s="32">
        <f t="shared" si="8"/>
        <v>1200000.0</v>
      </c>
      <c r="F58" s="32">
        <v>0.005</v>
      </c>
      <c r="G58" s="34">
        <f t="shared" si="9"/>
        <v>6000.0</v>
      </c>
      <c r="H58" s="34">
        <f t="shared" si="6"/>
        <v>172246.2</v>
      </c>
      <c r="I58" s="35"/>
      <c r="J58" s="32"/>
      <c r="K58" s="32"/>
      <c r="L58" s="34"/>
      <c r="M58" s="1" t="s">
        <v>96</v>
      </c>
      <c r="N58" s="1">
        <v>4000.0</v>
      </c>
    </row>
    <row r="59" spans="8:8" ht="15.0" hidden="1">
      <c r="A59" s="1" t="s">
        <v>74</v>
      </c>
      <c r="B59" s="1" t="s">
        <v>79</v>
      </c>
      <c r="C59" s="32">
        <v>14000.0</v>
      </c>
      <c r="D59" s="32">
        <v>14.523</v>
      </c>
      <c r="E59" s="32">
        <f t="shared" si="8"/>
        <v>1200000.0</v>
      </c>
      <c r="F59" s="32">
        <v>0.005</v>
      </c>
      <c r="G59" s="34">
        <f t="shared" si="9"/>
        <v>6000.0</v>
      </c>
      <c r="H59" s="34">
        <f t="shared" si="6"/>
        <v>203322.0</v>
      </c>
      <c r="I59" s="35"/>
      <c r="J59" s="32"/>
      <c r="K59" s="32"/>
      <c r="L59" s="34"/>
      <c r="M59" s="1" t="s">
        <v>4</v>
      </c>
      <c r="N59" s="1">
        <v>1000.0</v>
      </c>
    </row>
    <row r="60" spans="8:8" ht="15.0" hidden="1">
      <c r="A60" s="1" t="s">
        <v>76</v>
      </c>
      <c r="B60" s="1" t="s">
        <v>79</v>
      </c>
      <c r="C60" s="32">
        <v>5500.0</v>
      </c>
      <c r="D60" s="32">
        <v>27.6523</v>
      </c>
      <c r="E60" s="32">
        <f t="shared" si="8"/>
        <v>1200000.0</v>
      </c>
      <c r="F60" s="32">
        <v>0.005</v>
      </c>
      <c r="G60" s="34">
        <f t="shared" si="9"/>
        <v>6000.0</v>
      </c>
      <c r="H60" s="34">
        <f t="shared" si="6"/>
        <v>152087.65</v>
      </c>
      <c r="I60" s="35"/>
      <c r="J60" s="32"/>
      <c r="K60" s="32"/>
      <c r="L60" s="34"/>
    </row>
    <row r="61" spans="8:8" ht="15.0" hidden="1">
      <c r="A61" s="1" t="s">
        <v>81</v>
      </c>
      <c r="B61" s="1" t="s">
        <v>79</v>
      </c>
      <c r="C61" s="32">
        <v>1300.0</v>
      </c>
      <c r="D61" s="32">
        <v>10.6354</v>
      </c>
      <c r="E61" s="32">
        <f t="shared" si="8"/>
        <v>1200000.0</v>
      </c>
      <c r="F61" s="32">
        <v>0.0126</v>
      </c>
      <c r="G61" s="34">
        <f t="shared" si="9"/>
        <v>15120.0</v>
      </c>
      <c r="H61" s="34">
        <f t="shared" si="6"/>
        <v>13826.02</v>
      </c>
      <c r="I61" s="35">
        <v>610.0</v>
      </c>
      <c r="J61" s="32">
        <v>2.23273</v>
      </c>
      <c r="K61" s="32"/>
      <c r="L61" s="34">
        <f t="shared" si="10" ref="L61:L65">(I61*(J61+$P$20))*($C$11*VLOOKUP($B$11,$O$10:$P$16,2,0)/60000)</f>
        <v>124839.306</v>
      </c>
    </row>
    <row r="62" spans="8:8" ht="15.0" hidden="1">
      <c r="A62" s="1" t="s">
        <v>83</v>
      </c>
      <c r="B62" s="1" t="s">
        <v>79</v>
      </c>
      <c r="C62" s="32">
        <v>1300.0</v>
      </c>
      <c r="D62" s="32">
        <v>10.0116</v>
      </c>
      <c r="E62" s="32">
        <f t="shared" si="8"/>
        <v>1200000.0</v>
      </c>
      <c r="F62" s="32">
        <v>0.0112</v>
      </c>
      <c r="G62" s="34">
        <f t="shared" si="9"/>
        <v>13440.0</v>
      </c>
      <c r="H62" s="34">
        <f t="shared" si="6"/>
        <v>13015.08</v>
      </c>
      <c r="I62" s="35">
        <v>15.0</v>
      </c>
      <c r="J62" s="32">
        <v>10.2235</v>
      </c>
      <c r="K62" s="32"/>
      <c r="L62" s="34">
        <f t="shared" si="10"/>
        <v>5467.05</v>
      </c>
    </row>
    <row r="63" spans="8:8" ht="15.0" hidden="1">
      <c r="A63" s="1" t="s">
        <v>78</v>
      </c>
      <c r="B63" s="1" t="s">
        <v>79</v>
      </c>
      <c r="C63" s="32">
        <v>68.0</v>
      </c>
      <c r="D63" s="32">
        <v>6.28183</v>
      </c>
      <c r="E63" s="32">
        <f t="shared" si="8"/>
        <v>1200000.0</v>
      </c>
      <c r="F63" s="32">
        <v>0.007</v>
      </c>
      <c r="G63" s="34">
        <f t="shared" si="9"/>
        <v>8400.0</v>
      </c>
      <c r="H63" s="34">
        <f t="shared" si="6"/>
        <v>427.16444</v>
      </c>
      <c r="I63" s="35"/>
      <c r="J63" s="32"/>
      <c r="K63" s="32"/>
      <c r="L63" s="34"/>
    </row>
    <row r="64" spans="8:8" ht="15.0" hidden="1">
      <c r="A64" s="1" t="s">
        <v>80</v>
      </c>
      <c r="B64" s="1" t="s">
        <v>97</v>
      </c>
      <c r="C64" s="32">
        <v>68.0</v>
      </c>
      <c r="D64" s="32">
        <v>6.28183</v>
      </c>
      <c r="E64" s="32">
        <f t="shared" si="8"/>
        <v>1200000.0</v>
      </c>
      <c r="F64" s="32">
        <v>0.007</v>
      </c>
      <c r="G64" s="34">
        <f t="shared" si="9"/>
        <v>8400.0</v>
      </c>
      <c r="H64" s="34">
        <f t="shared" si="6"/>
        <v>427.16444</v>
      </c>
      <c r="I64" s="35"/>
      <c r="J64" s="32"/>
      <c r="K64" s="32"/>
      <c r="L64" s="34"/>
    </row>
    <row r="65" spans="8:8" ht="15.0" hidden="1">
      <c r="A65" s="1" t="s">
        <v>85</v>
      </c>
      <c r="B65" s="1" t="s">
        <v>98</v>
      </c>
      <c r="C65" s="32">
        <v>697.0</v>
      </c>
      <c r="D65" s="32">
        <v>13.4643</v>
      </c>
      <c r="E65" s="32">
        <f t="shared" si="8"/>
        <v>1200000.0</v>
      </c>
      <c r="F65" s="32">
        <v>0.01</v>
      </c>
      <c r="G65" s="34">
        <f t="shared" si="9"/>
        <v>12000.0</v>
      </c>
      <c r="H65" s="34">
        <f t="shared" si="6"/>
        <v>9384.6171</v>
      </c>
      <c r="I65" s="35">
        <v>684.0</v>
      </c>
      <c r="J65" s="32">
        <v>13.4816</v>
      </c>
      <c r="K65" s="32"/>
      <c r="L65" s="34">
        <f t="shared" si="10"/>
        <v>293868.288</v>
      </c>
    </row>
    <row r="66" spans="8:8" ht="15.0" hidden="1">
      <c r="A66" s="1" t="s">
        <v>85</v>
      </c>
      <c r="B66" s="1" t="s">
        <v>10</v>
      </c>
      <c r="C66" s="32">
        <v>697.0</v>
      </c>
      <c r="D66" s="32">
        <v>13.4643</v>
      </c>
      <c r="E66" s="32">
        <f t="shared" si="8"/>
        <v>1200000.0</v>
      </c>
      <c r="F66" s="32">
        <v>0.01</v>
      </c>
      <c r="G66" s="34">
        <f t="shared" si="9"/>
        <v>12000.0</v>
      </c>
      <c r="H66" s="34">
        <f t="shared" si="6"/>
        <v>9384.6171</v>
      </c>
      <c r="I66" s="35"/>
      <c r="J66" s="32"/>
      <c r="K66" s="32"/>
      <c r="L66" s="34"/>
    </row>
    <row r="67" spans="8:8" ht="15.0" hidden="1">
      <c r="A67" s="1" t="s">
        <v>85</v>
      </c>
      <c r="B67" s="1" t="s">
        <v>99</v>
      </c>
      <c r="C67" s="32">
        <v>697.0</v>
      </c>
      <c r="D67" s="32">
        <v>13.4643</v>
      </c>
      <c r="E67" s="32">
        <f t="shared" si="8"/>
        <v>1200000.0</v>
      </c>
      <c r="F67" s="32">
        <v>0.01</v>
      </c>
      <c r="G67" s="34">
        <f t="shared" si="9"/>
        <v>12000.0</v>
      </c>
      <c r="H67" s="34">
        <f t="shared" si="6"/>
        <v>9384.6171</v>
      </c>
      <c r="I67" s="35"/>
      <c r="J67" s="32"/>
      <c r="K67" s="32"/>
      <c r="L67" s="34"/>
    </row>
    <row r="68" spans="8:8" ht="15.0" hidden="1">
      <c r="A68" s="1" t="s">
        <v>85</v>
      </c>
      <c r="B68" s="1" t="s">
        <v>100</v>
      </c>
      <c r="C68" s="32">
        <v>697.0</v>
      </c>
      <c r="D68" s="32">
        <v>13.4643</v>
      </c>
      <c r="E68" s="32">
        <f t="shared" si="8"/>
        <v>1200000.0</v>
      </c>
      <c r="F68" s="32">
        <v>0.01</v>
      </c>
      <c r="G68" s="34">
        <f t="shared" si="9"/>
        <v>12000.0</v>
      </c>
      <c r="H68" s="34">
        <f t="shared" si="6"/>
        <v>9384.6171</v>
      </c>
      <c r="I68" s="35"/>
      <c r="J68" s="32"/>
      <c r="K68" s="32"/>
      <c r="L68" s="34"/>
    </row>
    <row r="69" spans="8:8" ht="15.0" hidden="1">
      <c r="A69" s="1" t="s">
        <v>65</v>
      </c>
      <c r="B69" s="1" t="s">
        <v>10</v>
      </c>
      <c r="C69" s="32">
        <v>122.0</v>
      </c>
      <c r="D69" s="32">
        <v>9.68838</v>
      </c>
      <c r="E69" s="32">
        <f t="shared" si="8"/>
        <v>1200000.0</v>
      </c>
      <c r="F69" s="32">
        <v>0.0028</v>
      </c>
      <c r="G69" s="34">
        <f t="shared" si="9"/>
        <v>3360.0</v>
      </c>
      <c r="H69" s="34">
        <f t="shared" si="6"/>
        <v>1181.98236</v>
      </c>
      <c r="I69" s="35"/>
      <c r="J69" s="32"/>
      <c r="K69" s="32"/>
      <c r="L69" s="34"/>
    </row>
    <row r="70" spans="8:8" ht="15.0" hidden="1">
      <c r="A70" s="1" t="s">
        <v>65</v>
      </c>
      <c r="B70" s="1" t="s">
        <v>101</v>
      </c>
      <c r="C70" s="32">
        <v>112.0</v>
      </c>
      <c r="D70" s="32">
        <v>9.74707</v>
      </c>
      <c r="E70" s="32">
        <f t="shared" si="8"/>
        <v>1200000.0</v>
      </c>
      <c r="F70" s="32">
        <v>0.0036</v>
      </c>
      <c r="G70" s="34">
        <f t="shared" si="9"/>
        <v>4320.0</v>
      </c>
      <c r="H70" s="34">
        <f t="shared" si="6"/>
        <v>1091.67184</v>
      </c>
      <c r="I70" s="35"/>
      <c r="J70" s="32"/>
      <c r="K70" s="32"/>
      <c r="L70" s="34"/>
    </row>
    <row r="71" spans="8:8" ht="15.0" hidden="1">
      <c r="A71" s="1" t="s">
        <v>65</v>
      </c>
      <c r="B71" s="1" t="s">
        <v>102</v>
      </c>
      <c r="C71" s="32">
        <v>321.0</v>
      </c>
      <c r="D71" s="32">
        <v>9.42957</v>
      </c>
      <c r="E71" s="32">
        <f t="shared" si="8"/>
        <v>1200000.0</v>
      </c>
      <c r="F71" s="32">
        <v>0.003</v>
      </c>
      <c r="G71" s="34">
        <f t="shared" si="9"/>
        <v>3600.0</v>
      </c>
      <c r="H71" s="34">
        <f t="shared" si="6"/>
        <v>3026.89197</v>
      </c>
      <c r="I71" s="35"/>
      <c r="J71" s="32"/>
      <c r="K71" s="32"/>
      <c r="L71" s="34"/>
    </row>
    <row r="72" spans="8:8" ht="15.0" hidden="1">
      <c r="A72" s="1" t="s">
        <v>65</v>
      </c>
      <c r="B72" s="1" t="s">
        <v>103</v>
      </c>
      <c r="C72" s="32">
        <v>312.0</v>
      </c>
      <c r="D72" s="32">
        <v>9.38965</v>
      </c>
      <c r="E72" s="32">
        <f t="shared" si="8"/>
        <v>1200000.0</v>
      </c>
      <c r="F72" s="32">
        <v>0.003</v>
      </c>
      <c r="G72" s="34">
        <f t="shared" si="9"/>
        <v>3600.0</v>
      </c>
      <c r="H72" s="34">
        <f t="shared" si="6"/>
        <v>2929.5708</v>
      </c>
      <c r="I72" s="35"/>
      <c r="J72" s="32"/>
      <c r="K72" s="32"/>
      <c r="L72" s="34"/>
    </row>
    <row r="73" spans="8:8" ht="15.0" hidden="1">
      <c r="A73" s="1" t="s">
        <v>65</v>
      </c>
      <c r="B73" s="1" t="s">
        <v>104</v>
      </c>
      <c r="C73" s="32">
        <v>112.0</v>
      </c>
      <c r="D73" s="32">
        <v>9.66592</v>
      </c>
      <c r="E73" s="32">
        <f t="shared" si="8"/>
        <v>1200000.0</v>
      </c>
      <c r="F73" s="32">
        <v>0.003</v>
      </c>
      <c r="G73" s="34">
        <f t="shared" si="9"/>
        <v>3600.0</v>
      </c>
      <c r="H73" s="34">
        <f t="shared" si="6"/>
        <v>1082.58304</v>
      </c>
      <c r="I73" s="35"/>
      <c r="J73" s="32"/>
      <c r="K73" s="32"/>
      <c r="L73" s="34"/>
    </row>
    <row r="74" spans="8:8" ht="15.0" hidden="1">
      <c r="A74" s="1" t="s">
        <v>65</v>
      </c>
      <c r="B74" s="1" t="s">
        <v>105</v>
      </c>
      <c r="C74" s="32">
        <v>950.0</v>
      </c>
      <c r="D74" s="32">
        <v>9.83008</v>
      </c>
      <c r="E74" s="32">
        <f t="shared" si="8"/>
        <v>1200000.0</v>
      </c>
      <c r="F74" s="32">
        <v>0.003</v>
      </c>
      <c r="G74" s="34">
        <f t="shared" si="9"/>
        <v>3600.0</v>
      </c>
      <c r="H74" s="34">
        <f t="shared" si="6"/>
        <v>9338.576000000001</v>
      </c>
      <c r="I74" s="35"/>
      <c r="J74" s="32"/>
      <c r="K74" s="32"/>
      <c r="L74" s="34"/>
    </row>
    <row r="75" spans="8:8" ht="15.0" hidden="1">
      <c r="A75" s="1" t="s">
        <v>65</v>
      </c>
      <c r="B75" s="1" t="s">
        <v>106</v>
      </c>
      <c r="C75" s="32">
        <v>950.0</v>
      </c>
      <c r="D75" s="32">
        <v>9.70114</v>
      </c>
      <c r="E75" s="32">
        <f t="shared" si="8"/>
        <v>1200000.0</v>
      </c>
      <c r="F75" s="32">
        <v>0.0036</v>
      </c>
      <c r="G75" s="34">
        <f t="shared" si="9"/>
        <v>4320.0</v>
      </c>
      <c r="H75" s="34">
        <f t="shared" si="6"/>
        <v>9216.083</v>
      </c>
      <c r="I75" s="35"/>
      <c r="J75" s="32"/>
      <c r="K75" s="32"/>
      <c r="L75" s="34"/>
    </row>
    <row r="76" spans="8:8" ht="15.0" hidden="1">
      <c r="A76" s="1" t="s">
        <v>89</v>
      </c>
      <c r="B76" s="1" t="s">
        <v>97</v>
      </c>
      <c r="C76" s="32">
        <v>68.0</v>
      </c>
      <c r="D76" s="32">
        <v>6.28183</v>
      </c>
      <c r="E76" s="32">
        <f t="shared" si="8"/>
        <v>1200000.0</v>
      </c>
      <c r="F76" s="32">
        <v>0.007</v>
      </c>
      <c r="G76" s="34">
        <f t="shared" si="9"/>
        <v>8400.0</v>
      </c>
      <c r="H76" s="34">
        <f t="shared" si="6"/>
        <v>427.16444</v>
      </c>
      <c r="I76" s="35"/>
      <c r="J76" s="32"/>
      <c r="K76" s="32"/>
      <c r="L76" s="34"/>
    </row>
    <row r="77" spans="8:8" ht="15.0" hidden="1">
      <c r="A77" s="1" t="s">
        <v>87</v>
      </c>
      <c r="B77" s="1" t="s">
        <v>79</v>
      </c>
      <c r="C77" s="32">
        <v>68.0</v>
      </c>
      <c r="D77" s="32">
        <v>6.28183</v>
      </c>
      <c r="E77" s="32">
        <f t="shared" si="8"/>
        <v>1200000.0</v>
      </c>
      <c r="F77" s="32">
        <v>0.007</v>
      </c>
      <c r="G77" s="34">
        <f t="shared" si="9"/>
        <v>8400.0</v>
      </c>
      <c r="H77" s="34">
        <f t="shared" si="6"/>
        <v>427.16444</v>
      </c>
      <c r="I77" s="35"/>
      <c r="J77" s="32"/>
      <c r="K77" s="32"/>
      <c r="L77" s="34"/>
    </row>
    <row r="78" spans="8:8" ht="15.0" hidden="1">
      <c r="A78" s="1" t="s">
        <v>91</v>
      </c>
      <c r="B78" s="1" t="s">
        <v>79</v>
      </c>
      <c r="C78" s="32">
        <v>7000.0</v>
      </c>
      <c r="D78" s="32">
        <v>19.4375</v>
      </c>
      <c r="E78" s="32">
        <f t="shared" si="8"/>
        <v>1200000.0</v>
      </c>
      <c r="F78" s="32">
        <v>0.005</v>
      </c>
      <c r="G78" s="34">
        <f t="shared" si="9"/>
        <v>6000.0</v>
      </c>
      <c r="H78" s="34">
        <f t="shared" si="6"/>
        <v>136062.5</v>
      </c>
      <c r="I78" s="35"/>
      <c r="J78" s="32"/>
      <c r="K78" s="32"/>
      <c r="L78" s="34"/>
    </row>
    <row r="79" spans="8:8" ht="15.0" hidden="1">
      <c r="A79" s="1" t="s">
        <v>93</v>
      </c>
      <c r="B79" s="1" t="s">
        <v>79</v>
      </c>
      <c r="C79" s="32">
        <v>10000.0</v>
      </c>
      <c r="D79" s="32">
        <v>29.4625</v>
      </c>
      <c r="E79" s="32">
        <f t="shared" si="8"/>
        <v>1200000.0</v>
      </c>
      <c r="F79" s="32">
        <v>0.005</v>
      </c>
      <c r="G79" s="34">
        <f t="shared" si="9"/>
        <v>6000.0</v>
      </c>
      <c r="H79" s="34">
        <f t="shared" si="6"/>
        <v>294625.0</v>
      </c>
      <c r="I79" s="35"/>
      <c r="J79" s="32"/>
      <c r="K79" s="32"/>
      <c r="L79" s="34"/>
    </row>
    <row r="80" spans="8:8" ht="15.0" hidden="1">
      <c r="A80" s="1" t="s">
        <v>95</v>
      </c>
      <c r="B80" s="1" t="s">
        <v>79</v>
      </c>
      <c r="C80" s="32">
        <v>7000.0</v>
      </c>
      <c r="D80" s="32">
        <v>22.8893</v>
      </c>
      <c r="E80" s="32">
        <f t="shared" si="8"/>
        <v>1200000.0</v>
      </c>
      <c r="F80" s="32">
        <v>0.005</v>
      </c>
      <c r="G80" s="34">
        <f t="shared" si="9"/>
        <v>6000.0</v>
      </c>
      <c r="H80" s="34">
        <f t="shared" si="6"/>
        <v>160225.09999999998</v>
      </c>
      <c r="I80" s="35"/>
      <c r="J80" s="32"/>
      <c r="K80" s="32"/>
      <c r="L80" s="34"/>
    </row>
    <row r="81" spans="8:8" ht="15.0" hidden="1">
      <c r="A81" s="1" t="s">
        <v>96</v>
      </c>
      <c r="B81" s="1" t="s">
        <v>79</v>
      </c>
      <c r="C81" s="32">
        <v>24.0</v>
      </c>
      <c r="D81" s="32">
        <v>8.72731</v>
      </c>
      <c r="E81" s="32">
        <f t="shared" si="8"/>
        <v>1200000.0</v>
      </c>
      <c r="F81" s="32">
        <v>0.007</v>
      </c>
      <c r="G81" s="34">
        <f t="shared" si="9"/>
        <v>8400.0</v>
      </c>
      <c r="H81" s="34">
        <f t="shared" si="6"/>
        <v>209.45543999999998</v>
      </c>
      <c r="I81" s="35"/>
      <c r="J81" s="32"/>
      <c r="K81" s="32"/>
      <c r="L81" s="34"/>
    </row>
    <row r="82" spans="8:8" ht="15.0" hidden="1">
      <c r="A82" s="1" t="s">
        <v>4</v>
      </c>
      <c r="B82" s="1" t="s">
        <v>107</v>
      </c>
      <c r="C82" s="32">
        <v>900.0</v>
      </c>
      <c r="D82" s="32">
        <v>5.97437</v>
      </c>
      <c r="E82" s="32">
        <f t="shared" si="8"/>
        <v>1200000.0</v>
      </c>
      <c r="F82" s="32">
        <v>0.008</v>
      </c>
      <c r="G82" s="34">
        <f t="shared" si="9"/>
        <v>9600.0</v>
      </c>
      <c r="H82" s="34">
        <f t="shared" si="6"/>
        <v>5376.933</v>
      </c>
      <c r="I82" s="35"/>
      <c r="J82" s="32"/>
      <c r="K82" s="32"/>
      <c r="L82" s="34"/>
    </row>
    <row r="83" spans="8:8" ht="15.0" hidden="1">
      <c r="A83" s="1" t="s">
        <v>4</v>
      </c>
      <c r="B83" s="1" t="s">
        <v>10</v>
      </c>
      <c r="C83" s="32">
        <v>136.0</v>
      </c>
      <c r="D83" s="32">
        <v>5.78908</v>
      </c>
      <c r="E83" s="32">
        <f t="shared" si="8"/>
        <v>1200000.0</v>
      </c>
      <c r="F83" s="32">
        <v>0.007</v>
      </c>
      <c r="G83" s="34">
        <f t="shared" si="9"/>
        <v>8400.0</v>
      </c>
      <c r="H83" s="34">
        <f t="shared" si="6"/>
        <v>787.31488</v>
      </c>
      <c r="I83" s="35"/>
      <c r="J83" s="32"/>
      <c r="K83" s="32"/>
      <c r="L83" s="34"/>
    </row>
    <row r="84" spans="8:8" ht="15.0" hidden="1">
      <c r="C84" s="32"/>
      <c r="D84" s="32"/>
      <c r="E84" s="32">
        <f t="shared" si="8"/>
        <v>1200000.0</v>
      </c>
      <c r="F84" s="32"/>
      <c r="G84" s="34">
        <f t="shared" si="9"/>
        <v>0.0</v>
      </c>
      <c r="H84" s="34">
        <f t="shared" si="6"/>
        <v>0.0</v>
      </c>
      <c r="I84" s="35"/>
      <c r="J84" s="32"/>
      <c r="K84" s="32"/>
      <c r="L84" s="34"/>
    </row>
    <row r="85" spans="8:8" ht="15.0" hidden="1">
      <c r="C85" s="32"/>
      <c r="D85" s="32"/>
      <c r="E85" s="32">
        <f t="shared" si="8"/>
        <v>1200000.0</v>
      </c>
      <c r="F85" s="32"/>
      <c r="G85" s="34">
        <f t="shared" si="9"/>
        <v>0.0</v>
      </c>
      <c r="H85" s="34">
        <f t="shared" si="6"/>
        <v>0.0</v>
      </c>
      <c r="I85" s="35"/>
      <c r="J85" s="32"/>
      <c r="K85" s="32"/>
      <c r="L85" s="34"/>
    </row>
    <row r="86" spans="8:8" ht="15.0" hidden="1">
      <c r="C86" s="32"/>
      <c r="D86" s="32"/>
      <c r="E86" s="32">
        <f t="shared" si="8"/>
        <v>1200000.0</v>
      </c>
      <c r="F86" s="32"/>
      <c r="G86" s="34">
        <f t="shared" si="9"/>
        <v>0.0</v>
      </c>
      <c r="H86" s="34">
        <f t="shared" si="6"/>
        <v>0.0</v>
      </c>
      <c r="I86" s="35"/>
      <c r="J86" s="32"/>
      <c r="K86" s="32"/>
      <c r="L86" s="34"/>
    </row>
    <row r="87" spans="8:8" ht="15.0" hidden="1">
      <c r="C87" s="32"/>
      <c r="D87" s="32"/>
      <c r="E87" s="32">
        <f t="shared" si="8"/>
        <v>1200000.0</v>
      </c>
      <c r="F87" s="32"/>
      <c r="G87" s="34">
        <f t="shared" si="9"/>
        <v>0.0</v>
      </c>
      <c r="H87" s="34">
        <f t="shared" si="6"/>
        <v>0.0</v>
      </c>
      <c r="I87" s="35"/>
      <c r="J87" s="32"/>
      <c r="K87" s="32"/>
      <c r="L87" s="34"/>
    </row>
    <row r="88" spans="8:8" ht="15.0" hidden="1"/>
    <row r="89" spans="8:8" ht="15.0" hidden="1">
      <c r="C89" s="1" t="s">
        <v>65</v>
      </c>
      <c r="D89" s="1" t="s">
        <v>68</v>
      </c>
      <c r="E89" s="1" t="s">
        <v>70</v>
      </c>
      <c r="F89" s="1" t="s">
        <v>72</v>
      </c>
      <c r="G89" s="1" t="s">
        <v>74</v>
      </c>
      <c r="H89" s="1" t="s">
        <v>76</v>
      </c>
      <c r="I89" s="1" t="s">
        <v>78</v>
      </c>
      <c r="J89" s="1" t="s">
        <v>80</v>
      </c>
      <c r="K89" s="1" t="s">
        <v>81</v>
      </c>
      <c r="L89" s="1" t="s">
        <v>83</v>
      </c>
      <c r="M89" s="1" t="s">
        <v>85</v>
      </c>
      <c r="N89" s="1" t="s">
        <v>89</v>
      </c>
      <c r="O89" s="1" t="s">
        <v>87</v>
      </c>
      <c r="P89" s="1" t="s">
        <v>91</v>
      </c>
      <c r="Q89" s="1" t="s">
        <v>93</v>
      </c>
      <c r="R89" s="1" t="s">
        <v>95</v>
      </c>
      <c r="S89" s="1" t="s">
        <v>96</v>
      </c>
      <c r="T89" s="1" t="s">
        <v>4</v>
      </c>
    </row>
    <row r="90" spans="8:8" ht="15.0" hidden="1">
      <c r="C90" s="1" t="s">
        <v>10</v>
      </c>
      <c r="D90" s="1" t="s">
        <v>79</v>
      </c>
      <c r="E90" s="1" t="s">
        <v>79</v>
      </c>
      <c r="F90" s="1" t="s">
        <v>79</v>
      </c>
      <c r="G90" s="1" t="s">
        <v>79</v>
      </c>
      <c r="H90" s="1" t="s">
        <v>79</v>
      </c>
      <c r="I90" s="1" t="s">
        <v>79</v>
      </c>
      <c r="J90" s="1" t="s">
        <v>97</v>
      </c>
      <c r="K90" s="1" t="s">
        <v>79</v>
      </c>
      <c r="L90" s="1" t="s">
        <v>79</v>
      </c>
      <c r="M90" s="1" t="s">
        <v>10</v>
      </c>
      <c r="N90" s="1" t="s">
        <v>97</v>
      </c>
      <c r="O90" s="1" t="s">
        <v>79</v>
      </c>
      <c r="P90" s="1" t="s">
        <v>79</v>
      </c>
      <c r="Q90" s="1" t="s">
        <v>79</v>
      </c>
      <c r="R90" s="1" t="s">
        <v>79</v>
      </c>
      <c r="S90" s="1" t="s">
        <v>79</v>
      </c>
      <c r="T90" s="1" t="s">
        <v>107</v>
      </c>
    </row>
    <row r="91" spans="8:8" ht="15.0" hidden="1">
      <c r="C91" s="1" t="s">
        <v>101</v>
      </c>
      <c r="D91" s="1" t="s">
        <v>82</v>
      </c>
      <c r="M91" s="1" t="s">
        <v>99</v>
      </c>
      <c r="T91" s="1" t="s">
        <v>10</v>
      </c>
    </row>
    <row r="92" spans="8:8" ht="15.0" hidden="1">
      <c r="C92" s="1" t="s">
        <v>102</v>
      </c>
      <c r="D92" s="1" t="s">
        <v>84</v>
      </c>
      <c r="M92" s="1" t="s">
        <v>100</v>
      </c>
    </row>
    <row r="93" spans="8:8" ht="15.0" hidden="1">
      <c r="C93" s="1" t="s">
        <v>103</v>
      </c>
      <c r="D93" s="1" t="s">
        <v>86</v>
      </c>
      <c r="M93" s="1" t="s">
        <v>98</v>
      </c>
    </row>
    <row r="94" spans="8:8" ht="15.0" hidden="1">
      <c r="C94" s="1" t="s">
        <v>104</v>
      </c>
      <c r="D94" s="1" t="s">
        <v>88</v>
      </c>
    </row>
    <row r="95" spans="8:8" ht="15.0" hidden="1">
      <c r="C95" s="1" t="s">
        <v>105</v>
      </c>
      <c r="D95" s="1" t="s">
        <v>90</v>
      </c>
    </row>
    <row r="96" spans="8:8" ht="15.0" hidden="1">
      <c r="C96" s="1" t="s">
        <v>106</v>
      </c>
      <c r="D96" s="1" t="s">
        <v>92</v>
      </c>
    </row>
    <row r="97" spans="8:8" ht="15.0" hidden="1">
      <c r="C97" s="1" t="s">
        <v>66</v>
      </c>
      <c r="D97" s="1" t="s">
        <v>94</v>
      </c>
    </row>
    <row r="98" spans="8:8" ht="15.0" hidden="1">
      <c r="C98" s="1" t="s">
        <v>67</v>
      </c>
    </row>
    <row r="99" spans="8:8" ht="15.0" hidden="1">
      <c r="C99" s="1" t="s">
        <v>69</v>
      </c>
    </row>
    <row r="100" spans="8:8" ht="15.0" hidden="1">
      <c r="C100" s="1" t="s">
        <v>71</v>
      </c>
    </row>
    <row r="101" spans="8:8" ht="15.0" hidden="1">
      <c r="C101" s="1" t="s">
        <v>73</v>
      </c>
    </row>
    <row r="102" spans="8:8" ht="15.0" hidden="1">
      <c r="C102" s="1" t="s">
        <v>75</v>
      </c>
    </row>
    <row r="103" spans="8:8" ht="15.0" hidden="1">
      <c r="C103" s="1" t="s">
        <v>77</v>
      </c>
    </row>
    <row r="104" spans="8:8" ht="15.0" hidden="1"/>
    <row r="105" spans="8:8" ht="15.0" hidden="1"/>
    <row r="106" spans="8:8" ht="15.0" hidden="1"/>
    <row r="107" spans="8:8" ht="15.0" hidden="1"/>
    <row r="108" spans="8:8" ht="15.0" hidden="1"/>
    <row r="110" spans="8:8">
      <c r="B110" s="1" t="s">
        <v>108</v>
      </c>
    </row>
    <row r="111" spans="8:8">
      <c r="B111" s="1" t="s">
        <v>109</v>
      </c>
      <c r="C111" s="1" t="s">
        <v>110</v>
      </c>
    </row>
    <row r="112" spans="8:8" ht="46.5" customHeight="1">
      <c r="B112" s="37" t="s">
        <v>111</v>
      </c>
      <c r="C112" s="38" t="s">
        <v>112</v>
      </c>
      <c r="D112" s="38"/>
      <c r="E112" s="38"/>
      <c r="F112" s="38"/>
      <c r="G112" s="38"/>
      <c r="H112" s="38"/>
    </row>
    <row r="113" spans="8:8">
      <c r="B113" s="1" t="s">
        <v>113</v>
      </c>
      <c r="C113" s="1" t="s">
        <v>114</v>
      </c>
    </row>
  </sheetData>
  <mergeCells count="7">
    <mergeCell ref="C112:H112"/>
    <mergeCell ref="B7:B9"/>
    <mergeCell ref="B11:B12"/>
    <mergeCell ref="C7:C9"/>
    <mergeCell ref="C11:C12"/>
    <mergeCell ref="D11:D12"/>
    <mergeCell ref="C1:I4"/>
  </mergeCells>
  <dataValidations count="4">
    <dataValidation allowBlank="1" type="list" errorStyle="stop" showInputMessage="1" showErrorMessage="1" sqref="B11">
      <formula1>"ms,s,min,hr,day,mo,yr"</formula1>
    </dataValidation>
    <dataValidation allowBlank="1" type="any" operator="between" errorStyle="stop" showInputMessage="1" showErrorMessage="1" sqref="E11"/>
    <dataValidation allowBlank="1" type="list" errorStyle="stop" showInputMessage="1" showErrorMessage="1" sqref="D11:D12">
      <formula1>INDIRECT($B$7)</formula1>
    </dataValidation>
    <dataValidation allowBlank="1" type="list" errorStyle="stop" showInputMessage="1" showErrorMessage="1" sqref="B7:B9">
      <formula1>$C$89:$U$89</formula1>
    </dataValidation>
  </dataValidations>
  <pageMargins left="0.75" right="0.75" top="1.0" bottom="1.0" header="0.5" footer="0.5"/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IW56"/>
  <sheetViews>
    <sheetView workbookViewId="0">
      <selection activeCell="B61" sqref="B61"/>
    </sheetView>
  </sheetViews>
  <sheetFormatPr defaultRowHeight="13.5" defaultColWidth="9"/>
  <cols>
    <col min="1" max="1" customWidth="1" width="11.625" style="0"/>
    <col min="2" max="2" customWidth="1" width="26.125" style="0"/>
    <col min="3" max="3" customWidth="1" width="34.125" style="0"/>
    <col min="4" max="4" customWidth="1" width="29.5" style="0"/>
    <col min="5" max="5" customWidth="1" width="25.25" style="0"/>
    <col min="6" max="6" customWidth="1" width="25.375" style="0"/>
    <col min="7" max="7" customWidth="1" width="26.875" style="0"/>
    <col min="8" max="8" customWidth="1" width="0.375" style="0"/>
    <col min="9" max="9" hidden="1" width="10.25" style="0"/>
    <col min="12" max="12" customWidth="1" width="10.125" style="0"/>
    <col min="13" max="13" hidden="1" width="15.75" style="0"/>
    <col min="14" max="14" hidden="1" width="10.625" style="0"/>
    <col min="15" max="15" hidden="1" width="9.0" style="0"/>
    <col min="16" max="16" hidden="1" width="9.0" style="0"/>
    <col min="17" max="17" hidden="1" width="9.0" style="0"/>
    <col min="257" max="16384" width="9" style="0" hidden="0"/>
  </cols>
  <sheetData>
    <row r="1" spans="8:8" s="1" ht="15.0" customFormat="1" customHeight="1">
      <c r="A1" s="2"/>
      <c r="B1" s="2"/>
      <c r="C1" s="3" t="s">
        <v>115</v>
      </c>
      <c r="D1" s="3"/>
      <c r="E1" s="3"/>
      <c r="F1" s="3"/>
      <c r="G1" s="3"/>
      <c r="H1" s="3"/>
      <c r="I1" s="3"/>
      <c r="J1" s="2"/>
      <c r="K1" s="2"/>
      <c r="L1" s="2"/>
    </row>
    <row r="2" spans="8:8" s="1" ht="15.0" customFormat="1">
      <c r="A2" s="2"/>
      <c r="B2" s="2"/>
      <c r="C2" s="3"/>
      <c r="D2" s="3"/>
      <c r="E2" s="3"/>
      <c r="F2" s="3"/>
      <c r="G2" s="3"/>
      <c r="H2" s="3"/>
      <c r="I2" s="3"/>
      <c r="J2" s="2"/>
      <c r="K2" s="2"/>
      <c r="L2" s="2"/>
    </row>
    <row r="3" spans="8:8" s="1" ht="15.0" customFormat="1">
      <c r="A3" s="2"/>
      <c r="B3" s="2"/>
      <c r="C3" s="3"/>
      <c r="D3" s="3"/>
      <c r="E3" s="3"/>
      <c r="F3" s="3"/>
      <c r="G3" s="3"/>
      <c r="H3" s="3"/>
      <c r="I3" s="3"/>
      <c r="J3" s="2"/>
      <c r="K3" s="2"/>
      <c r="L3" s="2"/>
    </row>
    <row r="4" spans="8:8" s="1" ht="15.0" customFormat="1">
      <c r="A4" s="2"/>
      <c r="B4" s="2"/>
      <c r="C4" s="3"/>
      <c r="D4" s="3"/>
      <c r="E4" s="3"/>
      <c r="F4" s="3"/>
      <c r="G4" s="3"/>
      <c r="H4" s="3"/>
      <c r="I4" s="3"/>
      <c r="J4" s="2"/>
      <c r="K4" s="2"/>
      <c r="L4" s="2"/>
    </row>
    <row r="5" spans="8:8" s="1" ht="15.0" customFormat="1">
      <c r="A5" s="2" t="s">
        <v>1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4"/>
    </row>
    <row r="6" spans="8:8" s="1" ht="15.0" customFormat="1">
      <c r="A6" s="5"/>
      <c r="B6" s="6" t="s">
        <v>2</v>
      </c>
      <c r="C6" s="7" t="s">
        <v>3</v>
      </c>
      <c r="D6" s="5"/>
      <c r="E6" s="5"/>
      <c r="F6" s="5"/>
      <c r="G6" s="5"/>
      <c r="H6" s="5"/>
      <c r="I6" s="5"/>
      <c r="J6" s="5"/>
      <c r="K6" s="5"/>
      <c r="L6" s="5"/>
    </row>
    <row r="7" spans="8:8" s="1" ht="15.0" customFormat="1">
      <c r="A7" s="5"/>
      <c r="B7" s="39" t="s">
        <v>116</v>
      </c>
      <c r="C7" s="9">
        <f>VLOOKUP($B$7,M29:N36,2,0)</f>
        <v>8500.0</v>
      </c>
      <c r="D7" s="5"/>
      <c r="E7" s="5"/>
      <c r="F7" s="5"/>
      <c r="G7" s="5"/>
      <c r="H7" s="5"/>
      <c r="I7" s="5"/>
      <c r="J7" s="5"/>
      <c r="K7" s="5"/>
      <c r="L7" s="5"/>
    </row>
    <row r="8" spans="8:8" s="1" ht="15.0" customFormat="1">
      <c r="A8" s="5"/>
      <c r="B8" s="39"/>
      <c r="C8" s="9"/>
      <c r="D8" s="5"/>
      <c r="E8" s="5"/>
      <c r="F8" s="5"/>
      <c r="G8" s="5"/>
      <c r="H8" s="5"/>
      <c r="I8" s="5"/>
      <c r="J8" s="5"/>
      <c r="K8" s="5"/>
      <c r="L8" s="5"/>
    </row>
    <row r="9" spans="8:8" s="1" ht="15.0" customFormat="1">
      <c r="A9" s="5"/>
      <c r="B9" s="39"/>
      <c r="C9" s="9"/>
      <c r="D9" s="5"/>
      <c r="E9" s="5"/>
      <c r="F9" s="5"/>
      <c r="G9" s="5"/>
      <c r="H9" s="5"/>
      <c r="I9" s="5"/>
      <c r="J9" s="5"/>
      <c r="K9" s="5"/>
      <c r="L9" s="5"/>
      <c r="O9" s="12" t="s">
        <v>8</v>
      </c>
      <c r="P9" s="12">
        <v>1.0</v>
      </c>
    </row>
    <row r="10" spans="8:8" s="1" ht="15.0" customFormat="1">
      <c r="A10" s="5"/>
      <c r="B10" s="10" t="s">
        <v>5</v>
      </c>
      <c r="C10" s="10" t="s">
        <v>6</v>
      </c>
      <c r="D10" s="11" t="s">
        <v>7</v>
      </c>
      <c r="E10" s="5"/>
      <c r="F10" s="5"/>
      <c r="G10" s="5"/>
      <c r="H10" s="5"/>
      <c r="I10" s="5"/>
      <c r="J10" s="5"/>
      <c r="K10" s="5"/>
      <c r="L10" s="5"/>
      <c r="O10" s="12" t="s">
        <v>11</v>
      </c>
      <c r="P10" s="12">
        <f>P9*1000</f>
        <v>1000.0</v>
      </c>
    </row>
    <row r="11" spans="8:8" s="1" ht="30.0" customFormat="1" customHeight="1">
      <c r="A11" s="5"/>
      <c r="B11" s="40" t="s">
        <v>9</v>
      </c>
      <c r="C11" s="41">
        <v>20.0</v>
      </c>
      <c r="D11" s="42" t="s">
        <v>94</v>
      </c>
      <c r="E11" s="5"/>
      <c r="F11" s="5"/>
      <c r="G11" s="5"/>
      <c r="H11" s="5"/>
      <c r="I11" s="5"/>
      <c r="J11" s="5"/>
      <c r="K11" s="5"/>
      <c r="L11" s="5"/>
      <c r="O11" s="12" t="s">
        <v>9</v>
      </c>
      <c r="P11" s="12">
        <f>P10*60</f>
        <v>60000.0</v>
      </c>
    </row>
    <row r="12" spans="8:8" s="1" ht="15.0" customFormat="1">
      <c r="A12" s="5"/>
      <c r="B12" s="43"/>
      <c r="C12" s="44"/>
      <c r="D12" s="45"/>
      <c r="E12" s="5"/>
      <c r="F12" s="5"/>
      <c r="G12" s="5"/>
      <c r="H12" s="5"/>
      <c r="I12" s="5"/>
      <c r="J12" s="5"/>
      <c r="K12" s="5"/>
      <c r="L12" s="5"/>
      <c r="O12" s="12" t="s">
        <v>22</v>
      </c>
      <c r="P12" s="12">
        <f>P11*60</f>
        <v>3600000.0</v>
      </c>
    </row>
    <row r="13" spans="8:8" ht="15.0">
      <c r="A13" s="46" t="s">
        <v>117</v>
      </c>
      <c r="B13" s="19" t="s">
        <v>12</v>
      </c>
      <c r="C13" s="19" t="s">
        <v>13</v>
      </c>
      <c r="D13" s="19" t="s">
        <v>118</v>
      </c>
      <c r="E13" s="19" t="s">
        <v>17</v>
      </c>
      <c r="F13" s="19" t="s">
        <v>18</v>
      </c>
      <c r="G13" s="19" t="s">
        <v>21</v>
      </c>
      <c r="O13" s="12" t="s">
        <v>25</v>
      </c>
      <c r="P13" s="12">
        <f>P12*24</f>
        <v>8.64E7</v>
      </c>
    </row>
    <row r="14" spans="8:8">
      <c r="A14" s="47" t="s">
        <v>119</v>
      </c>
      <c r="B14" s="48">
        <f t="array" ref="B14">VLOOKUP($B$7&amp;$D$11,IF({1,0},$A$29:$A$39&amp;$B$29:$B$39,$G$29:$G$39),2,0)</f>
        <v>7200.0</v>
      </c>
      <c r="C14" s="49">
        <f t="array" ref="C14">VLOOKUP($B$7&amp;$D$11,IF({1,0},$A$29:$A$39&amp;$B$29:$B$39,$H$29:$H$39),2,0)</f>
        <v>12650.937000000002</v>
      </c>
      <c r="D14" s="49">
        <f t="shared" si="0" ref="D14:E17">F23</f>
        <v>1472354.4</v>
      </c>
      <c r="E14" s="49">
        <f t="shared" si="0"/>
        <v>392.0</v>
      </c>
      <c r="F14" s="49">
        <f t="array" ref="F14">(B14+C14+D14+E14)/((B23+C23+(VLOOKUP($B$7&amp;$D$11,IF({1,0},$A$29:$A$39&amp;$B$29:$B$39,$C$29:$C$39),2,0)))+(VLOOKUP($B$7&amp;$D$11,IF({1,0},$A$29:$A$39&amp;$B$29:$B$39,$E$29:$E$39),2,0)))</f>
        <v>1.2092270662864364</v>
      </c>
      <c r="G14" s="49">
        <f>$C$7/(F14*8760+($C$7*0.02))</f>
        <v>0.7897551768680884</v>
      </c>
      <c r="O14" s="12" t="s">
        <v>27</v>
      </c>
      <c r="P14" s="12">
        <f>P15/12</f>
        <v>2.6298E9</v>
      </c>
    </row>
    <row r="15" spans="8:8">
      <c r="A15" s="50" t="s">
        <v>120</v>
      </c>
      <c r="B15" s="48">
        <f t="array" ref="B15">VLOOKUP($B$7&amp;$D$11,IF({1,0},$A$29:$A$39&amp;$B$29:$B$39,$G$29:$G$39),2,0)</f>
        <v>7200.0</v>
      </c>
      <c r="C15" s="49">
        <f t="array" ref="C15">VLOOKUP($B$7&amp;$D$11,IF({1,0},$A$29:$A$39&amp;$B$29:$B$39,$H$29:$H$39),2,0)</f>
        <v>12650.937000000002</v>
      </c>
      <c r="D15" s="49">
        <f t="shared" si="0"/>
        <v>945455.0</v>
      </c>
      <c r="E15" s="49">
        <f t="shared" si="0"/>
        <v>392.0</v>
      </c>
      <c r="F15" s="49">
        <f t="array" ref="F15">(B15+C15+D15+E15)/((B24+C24+(VLOOKUP($B$7&amp;$D$11,IF({1,0},$A$29:$A$39&amp;$B$29:$B$39,$C$29:$C$39),2,0)))+(VLOOKUP($B$7&amp;$D$11,IF({1,0},$A$29:$A$39&amp;$B$29:$B$39,$E$29:$E$39),2,0)))</f>
        <v>0.78172643725614</v>
      </c>
      <c r="G15" s="49">
        <f>$C$7/(F15*8760+($C$7*0.02))</f>
        <v>1.2111844608384212</v>
      </c>
      <c r="O15" s="12" t="s">
        <v>29</v>
      </c>
      <c r="P15" s="12">
        <f>P13*365.25</f>
        <v>3.15576E10</v>
      </c>
    </row>
    <row r="16" spans="8:8" ht="15.0">
      <c r="A16" s="50" t="s">
        <v>121</v>
      </c>
      <c r="B16" s="48">
        <f t="array" ref="B16">VLOOKUP($B$7&amp;$D$11,IF({1,0},$A$29:$A$39&amp;$B$29:$B$39,$G$29:$G$39),2,0)</f>
        <v>7200.0</v>
      </c>
      <c r="C16" s="49">
        <f t="array" ref="C16">VLOOKUP($B$7&amp;$D$11,IF({1,0},$A$29:$A$39&amp;$B$29:$B$39,$H$29:$H$39),2,0)</f>
        <v>12650.937000000002</v>
      </c>
      <c r="D16" s="49">
        <f t="shared" si="0"/>
        <v>125790.0</v>
      </c>
      <c r="E16" s="49">
        <f t="shared" si="0"/>
        <v>392.0</v>
      </c>
      <c r="F16" s="49">
        <f t="array" ref="F16">(B16+C16+D16+E16)/((B25+C25+(VLOOKUP($B$7&amp;$D$11,IF({1,0},$A$29:$A$39&amp;$B$29:$B$39,$C$29:$C$39),2,0)))+(VLOOKUP($B$7&amp;$D$11,IF({1,0},$A$29:$A$39&amp;$B$29:$B$39,$E$29:$E$39),2,0)))</f>
        <v>0.12035615491123676</v>
      </c>
      <c r="G16" s="49">
        <f>$C$7/(F16*8760+($C$7*0.02))</f>
        <v>6.942629848473051</v>
      </c>
      <c r="O16" s="1" t="s">
        <v>33</v>
      </c>
      <c r="P16" s="1">
        <v>8.0</v>
      </c>
    </row>
    <row r="17" spans="8:8">
      <c r="A17" s="50" t="s">
        <v>122</v>
      </c>
      <c r="B17" s="48">
        <f t="array" ref="B17">VLOOKUP($B$7&amp;$D$11,IF({1,0},$A$29:$A$39&amp;$B$29:$B$39,$G$29:$G$39),2,0)</f>
        <v>7200.0</v>
      </c>
      <c r="C17" s="49">
        <f t="array" ref="C17">VLOOKUP($B$7&amp;$D$11,IF({1,0},$A$29:$A$39&amp;$B$29:$B$39,$H$29:$H$39),2,0)</f>
        <v>12650.937000000002</v>
      </c>
      <c r="D17" s="49">
        <f t="shared" si="0"/>
        <v>910305.0</v>
      </c>
      <c r="E17" s="49">
        <f t="shared" si="0"/>
        <v>392.0</v>
      </c>
      <c r="F17" s="49">
        <f t="array" ref="F17">(B17+C17+D17+E17)/((B26+C26+(VLOOKUP($B$7&amp;$D$11,IF({1,0},$A$29:$A$39&amp;$B$29:$B$39,$C$29:$C$39),2,0)))+(VLOOKUP($B$7&amp;$D$11,IF({1,0},$A$29:$A$39&amp;$B$29:$B$39,$E$29:$E$39),2,0)))</f>
        <v>0.7557197337859568</v>
      </c>
      <c r="G17" s="49">
        <f>$C$7/(F17*8760+($C$7*0.02))</f>
        <v>1.2518216088387868</v>
      </c>
    </row>
    <row r="19" spans="8:8" ht="13.5" hidden="1">
      <c r="D19">
        <f t="array" ref="D19">VLOOKUP($B$7&amp;$D$11,IF({1,0},$A$29:$A$39&amp;$B$29:$B$39,$C$29:$C$39),2,0)</f>
        <v>1300.0</v>
      </c>
      <c r="E19">
        <f t="array" ref="E19">VLOOKUP($B$7&amp;$D$11,IF({1,0},$A$29:$A$39&amp;$B$29:$B$39,$E$29:$E$39),2,0)</f>
        <v>1200000.0</v>
      </c>
    </row>
    <row r="20" spans="8:8" ht="13.5" hidden="1"/>
    <row r="21" spans="8:8" ht="13.5" hidden="1"/>
    <row r="22" spans="8:8" ht="13.5" hidden="1">
      <c r="A22" t="s">
        <v>123</v>
      </c>
      <c r="B22" t="s">
        <v>124</v>
      </c>
      <c r="C22" t="s">
        <v>125</v>
      </c>
      <c r="D22" t="s">
        <v>126</v>
      </c>
      <c r="E22" t="s">
        <v>127</v>
      </c>
      <c r="F22" t="s">
        <v>128</v>
      </c>
      <c r="G22" t="s">
        <v>129</v>
      </c>
    </row>
    <row r="23" spans="8:8" ht="13.5" hidden="1">
      <c r="A23" t="s">
        <v>119</v>
      </c>
      <c r="B23">
        <v>33000.0</v>
      </c>
      <c r="C23">
        <v>40.0</v>
      </c>
      <c r="D23">
        <v>36.6168</v>
      </c>
      <c r="E23">
        <v>0.147</v>
      </c>
      <c r="F23">
        <f>B23*(D23+P16)</f>
        <v>1472354.4</v>
      </c>
      <c r="G23">
        <f>(C23*(E23+$P$20))*($C$11*VLOOKUP($B$11,$O$9:$P$15,2,0)/18000)</f>
        <v>392.0</v>
      </c>
    </row>
    <row r="24" spans="8:8" ht="13.5" hidden="1">
      <c r="A24" t="s">
        <v>120</v>
      </c>
      <c r="B24">
        <v>34000.0</v>
      </c>
      <c r="C24">
        <v>40.0</v>
      </c>
      <c r="D24">
        <v>27.8075</v>
      </c>
      <c r="E24">
        <v>0.147</v>
      </c>
      <c r="F24">
        <f>B24*(D24+P17)</f>
        <v>945455.0</v>
      </c>
      <c r="G24">
        <f>(C24*(E24+$P$20))*($C$11*VLOOKUP($B$11,$O$9:$P$15,2,0)/18000)</f>
        <v>392.0</v>
      </c>
    </row>
    <row r="25" spans="8:8" ht="13.5" hidden="1">
      <c r="A25" t="s">
        <v>121</v>
      </c>
      <c r="B25">
        <v>12000.0</v>
      </c>
      <c r="C25">
        <v>40.0</v>
      </c>
      <c r="D25">
        <v>10.4825</v>
      </c>
      <c r="E25">
        <v>0.147</v>
      </c>
      <c r="F25">
        <f>B25*(D25+P18)</f>
        <v>125790.0</v>
      </c>
      <c r="G25">
        <f>(C25*(E25+$P$20))*($C$11*VLOOKUP($B$11,$O$9:$P$15,2,0)/18000)</f>
        <v>392.0</v>
      </c>
    </row>
    <row r="26" spans="8:8" ht="13.5" hidden="1">
      <c r="A26" t="s">
        <v>122</v>
      </c>
      <c r="B26">
        <v>30000.0</v>
      </c>
      <c r="C26">
        <v>40.0</v>
      </c>
      <c r="D26">
        <v>30.3435</v>
      </c>
      <c r="E26">
        <v>0.147</v>
      </c>
      <c r="F26">
        <f>B26*(D26+P19)</f>
        <v>910305.0</v>
      </c>
      <c r="G26">
        <f>(C26*(E26+$P$20))*($C$11*VLOOKUP($B$11,$O$9:$P$15,2,0)/18000)</f>
        <v>392.0</v>
      </c>
    </row>
    <row r="27" spans="8:8" ht="13.5" hidden="1"/>
    <row r="28" spans="8:8" ht="15.0" hidden="1">
      <c r="A28" s="1"/>
      <c r="B28" s="1"/>
      <c r="C28" s="32" t="s">
        <v>56</v>
      </c>
      <c r="D28" s="32" t="s">
        <v>57</v>
      </c>
      <c r="E28" s="32" t="s">
        <v>58</v>
      </c>
      <c r="F28" s="32" t="s">
        <v>59</v>
      </c>
      <c r="G28" s="33" t="s">
        <v>60</v>
      </c>
      <c r="H28" s="33" t="s">
        <v>61</v>
      </c>
      <c r="I28" s="32"/>
      <c r="J28" s="32"/>
      <c r="K28" s="32"/>
      <c r="L28" s="34"/>
      <c r="M28" s="1">
        <f>VLOOKUP($B$7,M29:N36,2,0)</f>
        <v>8500.0</v>
      </c>
      <c r="N28" s="1"/>
      <c r="O28" s="1"/>
      <c r="P28" s="1"/>
      <c r="Q28" s="1"/>
      <c r="R28" s="1"/>
      <c r="S28" s="1"/>
      <c r="T28" s="1"/>
      <c r="U28" s="1"/>
    </row>
    <row r="29" spans="8:8" ht="15.0" hidden="1">
      <c r="A29" s="1" t="s">
        <v>116</v>
      </c>
      <c r="B29" s="1" t="s">
        <v>79</v>
      </c>
      <c r="C29" s="32">
        <v>998.0</v>
      </c>
      <c r="D29" s="32">
        <v>10.5007</v>
      </c>
      <c r="E29" s="32">
        <f t="shared" si="1" ref="E29:E39">$C$11*VLOOKUP($B$11,$O$10:$P$16,2,0)</f>
        <v>1200000.0</v>
      </c>
      <c r="F29" s="32">
        <v>0.034</v>
      </c>
      <c r="G29" s="34">
        <f t="shared" si="2" ref="G29:G39">E29*F29</f>
        <v>40800.0</v>
      </c>
      <c r="H29" s="34">
        <f t="shared" si="3" ref="H29:H39">C29*D29</f>
        <v>10479.6986</v>
      </c>
      <c r="I29" s="35"/>
      <c r="J29" s="32"/>
      <c r="K29" s="32"/>
      <c r="L29" s="34"/>
      <c r="M29" s="1" t="s">
        <v>116</v>
      </c>
      <c r="N29" s="1">
        <v>8500.0</v>
      </c>
      <c r="O29" s="1"/>
      <c r="P29" s="1"/>
      <c r="Q29" s="1"/>
      <c r="R29" s="1"/>
      <c r="S29" s="1"/>
      <c r="T29" s="1"/>
      <c r="U29" s="1"/>
    </row>
    <row r="30" spans="8:8" ht="15.0" hidden="1">
      <c r="A30" s="1" t="s">
        <v>116</v>
      </c>
      <c r="B30" s="1" t="s">
        <v>82</v>
      </c>
      <c r="C30" s="32">
        <v>1250.0</v>
      </c>
      <c r="D30" s="32">
        <v>120.172</v>
      </c>
      <c r="E30" s="32">
        <f t="shared" si="1"/>
        <v>1200000.0</v>
      </c>
      <c r="F30" s="32">
        <v>0.0054</v>
      </c>
      <c r="G30" s="34">
        <f t="shared" si="2"/>
        <v>6480.0</v>
      </c>
      <c r="H30" s="34">
        <f t="shared" si="3"/>
        <v>150215.0</v>
      </c>
      <c r="I30" s="35"/>
      <c r="J30" s="32"/>
      <c r="K30" s="32"/>
      <c r="L30" s="34"/>
      <c r="M30" s="1" t="s">
        <v>130</v>
      </c>
      <c r="N30" s="1">
        <v>8500.0</v>
      </c>
      <c r="O30" s="1"/>
      <c r="P30" s="1"/>
      <c r="Q30" s="1"/>
      <c r="R30" s="1"/>
      <c r="S30" s="1"/>
      <c r="T30" s="1"/>
      <c r="U30" s="1"/>
    </row>
    <row r="31" spans="8:8" ht="15.0" hidden="1">
      <c r="A31" s="1" t="s">
        <v>116</v>
      </c>
      <c r="B31" s="1" t="s">
        <v>84</v>
      </c>
      <c r="C31" s="32">
        <v>1250.0</v>
      </c>
      <c r="D31" s="32">
        <v>24.0487</v>
      </c>
      <c r="E31" s="32">
        <f t="shared" si="1"/>
        <v>1200000.0</v>
      </c>
      <c r="F31" s="32">
        <v>0.0058</v>
      </c>
      <c r="G31" s="34">
        <f t="shared" si="2"/>
        <v>6959.999999999999</v>
      </c>
      <c r="H31" s="34">
        <f t="shared" si="3"/>
        <v>30060.875</v>
      </c>
      <c r="I31" s="35"/>
      <c r="J31" s="32"/>
      <c r="K31" s="32"/>
      <c r="L31" s="34"/>
      <c r="M31" s="1" t="s">
        <v>131</v>
      </c>
      <c r="N31" s="1">
        <v>8500.0</v>
      </c>
      <c r="O31" s="1"/>
      <c r="P31" s="1"/>
      <c r="Q31" s="1"/>
      <c r="R31" s="1"/>
      <c r="S31" s="1"/>
      <c r="T31" s="1"/>
      <c r="U31" s="1"/>
    </row>
    <row r="32" spans="8:8" ht="15.0" hidden="1">
      <c r="A32" s="1" t="s">
        <v>116</v>
      </c>
      <c r="B32" s="1" t="s">
        <v>86</v>
      </c>
      <c r="C32" s="32">
        <v>3200.0</v>
      </c>
      <c r="D32" s="32">
        <v>36.3731</v>
      </c>
      <c r="E32" s="32">
        <f t="shared" si="1"/>
        <v>1200000.0</v>
      </c>
      <c r="F32" s="32">
        <v>0.0067</v>
      </c>
      <c r="G32" s="34">
        <f t="shared" si="2"/>
        <v>8040.0</v>
      </c>
      <c r="H32" s="34">
        <f t="shared" si="3"/>
        <v>116393.92</v>
      </c>
      <c r="I32" s="35"/>
      <c r="J32" s="32"/>
      <c r="K32" s="32"/>
      <c r="L32" s="34"/>
      <c r="M32" s="1" t="s">
        <v>132</v>
      </c>
      <c r="N32" s="1">
        <v>8500.0</v>
      </c>
      <c r="O32" s="1"/>
      <c r="P32" s="1"/>
      <c r="Q32" s="1"/>
      <c r="R32" s="1"/>
      <c r="S32" s="1"/>
      <c r="T32" s="1"/>
      <c r="U32" s="1"/>
    </row>
    <row r="33" spans="8:8" ht="15.0" hidden="1">
      <c r="A33" s="1" t="s">
        <v>116</v>
      </c>
      <c r="B33" s="1" t="s">
        <v>88</v>
      </c>
      <c r="C33" s="32">
        <v>1250.0</v>
      </c>
      <c r="D33" s="32">
        <v>9.97744</v>
      </c>
      <c r="E33" s="32">
        <f t="shared" si="1"/>
        <v>1200000.0</v>
      </c>
      <c r="F33" s="32">
        <v>0.004</v>
      </c>
      <c r="G33" s="34">
        <f t="shared" si="2"/>
        <v>4800.0</v>
      </c>
      <c r="H33" s="34">
        <f t="shared" si="3"/>
        <v>12471.8</v>
      </c>
      <c r="I33" s="35"/>
      <c r="J33" s="32"/>
      <c r="K33" s="32"/>
      <c r="L33" s="34"/>
      <c r="M33" s="1"/>
      <c r="N33" s="1"/>
      <c r="O33" s="1"/>
      <c r="P33" s="1"/>
      <c r="Q33" s="1"/>
      <c r="R33" s="1"/>
      <c r="S33" s="1"/>
      <c r="T33" s="1"/>
      <c r="U33" s="1"/>
    </row>
    <row r="34" spans="8:8" ht="15.0" hidden="1">
      <c r="A34" s="1" t="s">
        <v>116</v>
      </c>
      <c r="B34" s="1" t="s">
        <v>90</v>
      </c>
      <c r="C34" s="32">
        <v>2600.0</v>
      </c>
      <c r="D34" s="32">
        <v>9.52768</v>
      </c>
      <c r="E34" s="32">
        <f t="shared" si="1"/>
        <v>1200000.0</v>
      </c>
      <c r="F34" s="32">
        <v>0.0137</v>
      </c>
      <c r="G34" s="34">
        <f t="shared" si="2"/>
        <v>16440.0</v>
      </c>
      <c r="H34" s="34">
        <f t="shared" si="3"/>
        <v>24771.968</v>
      </c>
      <c r="I34" s="35"/>
      <c r="J34" s="32"/>
      <c r="K34" s="32"/>
      <c r="L34" s="34"/>
      <c r="M34" s="1"/>
      <c r="N34" s="1"/>
      <c r="O34" s="1"/>
      <c r="P34" s="1"/>
      <c r="Q34" s="1"/>
      <c r="R34" s="1"/>
      <c r="S34" s="1"/>
      <c r="T34" s="1"/>
      <c r="U34" s="1"/>
    </row>
    <row r="35" spans="8:8" ht="15.0" hidden="1">
      <c r="A35" s="1" t="s">
        <v>116</v>
      </c>
      <c r="B35" s="1" t="s">
        <v>92</v>
      </c>
      <c r="C35" s="32">
        <v>1300.0</v>
      </c>
      <c r="D35" s="32">
        <v>26.4084</v>
      </c>
      <c r="E35" s="32">
        <f t="shared" si="1"/>
        <v>1200000.0</v>
      </c>
      <c r="F35" s="32">
        <v>0.008</v>
      </c>
      <c r="G35" s="34">
        <f t="shared" si="2"/>
        <v>9600.0</v>
      </c>
      <c r="H35" s="34">
        <f t="shared" si="3"/>
        <v>34330.92</v>
      </c>
      <c r="I35" s="35"/>
      <c r="J35" s="32"/>
      <c r="K35" s="32"/>
      <c r="L35" s="34"/>
      <c r="M35" s="1"/>
      <c r="N35" s="1"/>
      <c r="O35" s="1"/>
      <c r="P35" s="1"/>
      <c r="Q35" s="1"/>
      <c r="R35" s="1"/>
      <c r="S35" s="1"/>
      <c r="T35" s="1"/>
      <c r="U35" s="1"/>
    </row>
    <row r="36" spans="8:8" ht="15.0" hidden="1">
      <c r="A36" s="1" t="s">
        <v>116</v>
      </c>
      <c r="B36" s="1" t="s">
        <v>94</v>
      </c>
      <c r="C36" s="32">
        <v>1300.0</v>
      </c>
      <c r="D36" s="32">
        <v>9.73149</v>
      </c>
      <c r="E36" s="32">
        <f t="shared" si="1"/>
        <v>1200000.0</v>
      </c>
      <c r="F36" s="32">
        <v>0.006</v>
      </c>
      <c r="G36" s="34">
        <f t="shared" si="2"/>
        <v>7200.0</v>
      </c>
      <c r="H36" s="34">
        <f t="shared" si="3"/>
        <v>12650.937000000002</v>
      </c>
      <c r="I36" s="35"/>
      <c r="J36" s="32"/>
      <c r="K36" s="32"/>
      <c r="L36" s="34"/>
      <c r="M36" s="1"/>
      <c r="N36" s="1"/>
      <c r="O36" s="1"/>
      <c r="P36" s="1"/>
      <c r="Q36" s="1"/>
      <c r="R36" s="1"/>
      <c r="S36" s="1"/>
      <c r="T36" s="1"/>
      <c r="U36" s="1"/>
    </row>
    <row r="37" spans="8:8" ht="15.0" hidden="1">
      <c r="A37" s="1" t="s">
        <v>130</v>
      </c>
      <c r="B37" s="1" t="s">
        <v>79</v>
      </c>
      <c r="C37" s="32">
        <v>7000.0</v>
      </c>
      <c r="D37" s="32">
        <v>24.6066</v>
      </c>
      <c r="E37" s="32">
        <f t="shared" si="1"/>
        <v>1200000.0</v>
      </c>
      <c r="F37" s="32">
        <v>0.005</v>
      </c>
      <c r="G37" s="34">
        <f t="shared" si="2"/>
        <v>6000.0</v>
      </c>
      <c r="H37" s="34">
        <f t="shared" si="3"/>
        <v>172246.2</v>
      </c>
      <c r="I37" s="35"/>
      <c r="J37" s="32"/>
      <c r="K37" s="32"/>
      <c r="L37" s="34"/>
      <c r="M37" s="1"/>
      <c r="N37" s="1"/>
      <c r="O37" s="1"/>
      <c r="P37" s="1"/>
      <c r="Q37" s="1"/>
      <c r="R37" s="1"/>
      <c r="S37" s="1"/>
      <c r="T37" s="1"/>
      <c r="U37" s="1"/>
    </row>
    <row r="38" spans="8:8" ht="15.0" hidden="1">
      <c r="A38" s="1" t="s">
        <v>131</v>
      </c>
      <c r="B38" s="1" t="s">
        <v>79</v>
      </c>
      <c r="C38" s="32">
        <v>14000.0</v>
      </c>
      <c r="D38" s="32">
        <v>14.523</v>
      </c>
      <c r="E38" s="32">
        <f t="shared" si="1"/>
        <v>1200000.0</v>
      </c>
      <c r="F38" s="32">
        <v>0.005</v>
      </c>
      <c r="G38" s="34">
        <f t="shared" si="2"/>
        <v>6000.0</v>
      </c>
      <c r="H38" s="34">
        <f t="shared" si="3"/>
        <v>203322.0</v>
      </c>
      <c r="I38" s="35"/>
      <c r="J38" s="32"/>
      <c r="K38" s="32"/>
      <c r="L38" s="34"/>
      <c r="M38" s="1"/>
      <c r="N38" s="1"/>
      <c r="O38" s="1"/>
      <c r="P38" s="1"/>
      <c r="Q38" s="1"/>
      <c r="R38" s="1"/>
      <c r="S38" s="1"/>
      <c r="T38" s="1"/>
      <c r="U38" s="1"/>
    </row>
    <row r="39" spans="8:8" ht="15.0" hidden="1">
      <c r="A39" s="1" t="s">
        <v>132</v>
      </c>
      <c r="B39" s="1" t="s">
        <v>79</v>
      </c>
      <c r="C39" s="32">
        <v>5500.0</v>
      </c>
      <c r="D39" s="32">
        <v>27.6523</v>
      </c>
      <c r="E39" s="32">
        <f t="shared" si="1"/>
        <v>1200000.0</v>
      </c>
      <c r="F39" s="32">
        <v>0.005</v>
      </c>
      <c r="G39" s="34">
        <f t="shared" si="2"/>
        <v>6000.0</v>
      </c>
      <c r="H39" s="34">
        <f t="shared" si="3"/>
        <v>152087.65</v>
      </c>
      <c r="I39" s="35"/>
      <c r="J39" s="32"/>
      <c r="K39" s="32"/>
      <c r="L39" s="34"/>
      <c r="M39" s="1"/>
      <c r="N39" s="1"/>
      <c r="O39" s="1"/>
      <c r="P39" s="1"/>
      <c r="Q39" s="1"/>
      <c r="R39" s="1"/>
      <c r="S39" s="1"/>
      <c r="T39" s="1"/>
      <c r="U39" s="1"/>
    </row>
    <row r="40" spans="8:8" ht="15.0" hidden="1">
      <c r="A40" s="1"/>
      <c r="B40" s="1"/>
      <c r="C40" s="32"/>
      <c r="D40" s="32"/>
      <c r="E40" s="32"/>
      <c r="F40" s="32"/>
      <c r="G40" s="34"/>
      <c r="H40" s="34"/>
      <c r="I40" s="35"/>
      <c r="J40" s="32"/>
      <c r="K40" s="32"/>
      <c r="L40" s="34"/>
      <c r="M40" s="1"/>
      <c r="N40" s="1"/>
      <c r="O40" s="1"/>
      <c r="P40" s="1"/>
      <c r="Q40" s="1"/>
      <c r="R40" s="1"/>
      <c r="S40" s="1"/>
      <c r="T40" s="1"/>
      <c r="U40" s="1"/>
    </row>
    <row r="41" spans="8:8" ht="15.0" hidden="1">
      <c r="A41" s="1"/>
      <c r="B41" s="1"/>
      <c r="C41" s="32"/>
      <c r="D41" s="32"/>
      <c r="E41" s="32"/>
      <c r="F41" s="32"/>
      <c r="G41" s="34"/>
      <c r="H41" s="34"/>
      <c r="I41" s="35"/>
      <c r="J41" s="32"/>
      <c r="K41" s="32"/>
      <c r="L41" s="34"/>
      <c r="M41" s="1"/>
      <c r="N41" s="1"/>
      <c r="O41" s="1"/>
      <c r="P41" s="1"/>
      <c r="Q41" s="1"/>
      <c r="R41" s="1"/>
      <c r="S41" s="1"/>
      <c r="T41" s="1"/>
      <c r="U41" s="1"/>
    </row>
    <row r="42" spans="8:8" ht="15.0" hidden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8:8" ht="15.0" hidden="1">
      <c r="A43" s="1"/>
      <c r="B43" s="1"/>
      <c r="C43" s="1"/>
      <c r="E43" s="1" t="s">
        <v>116</v>
      </c>
      <c r="F43" s="1" t="s">
        <v>130</v>
      </c>
      <c r="G43" s="1" t="s">
        <v>131</v>
      </c>
      <c r="H43" s="1" t="s">
        <v>132</v>
      </c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8:8" ht="15.0" hidden="1">
      <c r="A44" s="1"/>
      <c r="B44" s="1"/>
      <c r="C44" s="1"/>
      <c r="E44" s="1" t="s">
        <v>79</v>
      </c>
      <c r="F44" s="1" t="s">
        <v>79</v>
      </c>
      <c r="G44" s="1" t="s">
        <v>79</v>
      </c>
      <c r="H44" s="1" t="s">
        <v>79</v>
      </c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8:8" ht="15.0" hidden="1">
      <c r="A45" s="1"/>
      <c r="B45" s="1"/>
      <c r="C45" s="1"/>
      <c r="E45" s="1" t="s">
        <v>82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8:8" ht="15.0" hidden="1">
      <c r="A46" s="1"/>
      <c r="B46" s="1"/>
      <c r="C46" s="1"/>
      <c r="E46" s="1" t="s">
        <v>84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8:8" ht="15.0" hidden="1">
      <c r="A47" s="1"/>
      <c r="B47" s="1"/>
      <c r="C47" s="1"/>
      <c r="E47" s="1" t="s">
        <v>86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8:8" ht="15.0" hidden="1">
      <c r="A48" s="1"/>
      <c r="B48" s="1"/>
      <c r="C48" s="1"/>
      <c r="E48" s="1" t="s">
        <v>88</v>
      </c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8:8" ht="15.0" hidden="1">
      <c r="A49" s="1"/>
      <c r="B49" s="1"/>
      <c r="C49" s="1"/>
      <c r="E49" s="1" t="s">
        <v>90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8:8" ht="15.0" hidden="1">
      <c r="A50" s="1"/>
      <c r="B50" s="1"/>
      <c r="C50" s="1"/>
      <c r="E50" s="1" t="s">
        <v>92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8:8" ht="15.0" hidden="1">
      <c r="A51" s="1"/>
      <c r="B51" s="1"/>
      <c r="C51" s="1"/>
      <c r="E51" s="1" t="s">
        <v>94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8:8" ht="15.0" hidden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8:8" ht="15.0" hidden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5" spans="8:8" ht="15.0">
      <c r="A55" s="1"/>
      <c r="B55" s="1" t="s">
        <v>108</v>
      </c>
      <c r="C55" s="1"/>
    </row>
    <row r="56" spans="8:8" ht="15.0">
      <c r="A56" s="1"/>
      <c r="B56" s="1" t="s">
        <v>113</v>
      </c>
      <c r="C56" s="1" t="s">
        <v>114</v>
      </c>
    </row>
  </sheetData>
  <mergeCells count="6">
    <mergeCell ref="B7:B9"/>
    <mergeCell ref="B11:B12"/>
    <mergeCell ref="C7:C9"/>
    <mergeCell ref="C11:C12"/>
    <mergeCell ref="D11:D12"/>
    <mergeCell ref="C1:I4"/>
  </mergeCells>
  <dataValidations count="5">
    <dataValidation allowBlank="1" type="list" errorStyle="stop" showInputMessage="1" showErrorMessage="1" sqref="B11">
      <formula1>"ms,s,min,hr,day,mo,yr"</formula1>
    </dataValidation>
    <dataValidation allowBlank="1" type="any" operator="between" errorStyle="stop" showInputMessage="1" showErrorMessage="1" sqref="E11"/>
    <dataValidation allowBlank="1" type="any" operator="between" errorStyle="stop" showInputMessage="1" showErrorMessage="1" sqref="E40:E41"/>
    <dataValidation allowBlank="1" type="list" errorStyle="stop" showInputMessage="1" showErrorMessage="1" sqref="B7:B9">
      <formula1>$E$43:$K$43</formula1>
    </dataValidation>
    <dataValidation allowBlank="1" type="list" errorStyle="stop" showInputMessage="1" showErrorMessage="1" sqref="D11:D12">
      <formula1>INDIRECT($B$7)</formula1>
    </dataValidation>
  </dataValidations>
  <pageMargins left="0.75" right="0.75" top="1.0" bottom="1.0" header="0.5" footer="0.5"/>
  <drawing r:id="rId1"/>
</worksheet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Administrator</dc:creator>
  <cp:lastModifiedBy>靠</cp:lastModifiedBy>
  <dcterms:created xsi:type="dcterms:W3CDTF">2021-03-10T05:19:00Z</dcterms:created>
  <dcterms:modified xsi:type="dcterms:W3CDTF">2022-11-11T15:22:32Z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AC36B33A6ECD4F3EB425AE5DF9901A35</vt:lpwstr>
  </property>
</Properties>
</file>